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igene Dateien\Privat\WM\WM2018\"/>
    </mc:Choice>
  </mc:AlternateContent>
  <bookViews>
    <workbookView xWindow="0" yWindow="0" windowWidth="28800" windowHeight="13020"/>
  </bookViews>
  <sheets>
    <sheet name="Tippformula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75" i="1" l="1"/>
  <c r="BH74" i="1"/>
  <c r="AT74" i="1"/>
  <c r="Y72" i="1"/>
  <c r="X72" i="1"/>
  <c r="W72" i="1"/>
  <c r="V72" i="1"/>
  <c r="U72" i="1"/>
  <c r="T72" i="1"/>
  <c r="S72" i="1"/>
  <c r="R72" i="1"/>
  <c r="Q72" i="1"/>
  <c r="P72" i="1"/>
  <c r="H72" i="1"/>
  <c r="F72" i="1"/>
  <c r="M72" i="1" s="1"/>
  <c r="Y71" i="1"/>
  <c r="X71" i="1"/>
  <c r="W71" i="1"/>
  <c r="V71" i="1"/>
  <c r="U71" i="1"/>
  <c r="T71" i="1"/>
  <c r="S71" i="1"/>
  <c r="R71" i="1"/>
  <c r="Q71" i="1"/>
  <c r="P71" i="1"/>
  <c r="M71" i="1"/>
  <c r="H71" i="1"/>
  <c r="F71" i="1"/>
  <c r="Y70" i="1"/>
  <c r="X70" i="1"/>
  <c r="W70" i="1"/>
  <c r="V70" i="1"/>
  <c r="U70" i="1"/>
  <c r="BV70" i="1" s="1"/>
  <c r="T70" i="1"/>
  <c r="S70" i="1"/>
  <c r="R70" i="1"/>
  <c r="Q70" i="1"/>
  <c r="P70" i="1"/>
  <c r="H70" i="1"/>
  <c r="F70" i="1"/>
  <c r="Y69" i="1"/>
  <c r="X69" i="1"/>
  <c r="W69" i="1"/>
  <c r="V69" i="1"/>
  <c r="U69" i="1"/>
  <c r="T69" i="1"/>
  <c r="S69" i="1"/>
  <c r="R69" i="1"/>
  <c r="Q69" i="1"/>
  <c r="P69" i="1"/>
  <c r="H69" i="1"/>
  <c r="M69" i="1" s="1"/>
  <c r="F69" i="1"/>
  <c r="Y68" i="1"/>
  <c r="BT69" i="1" s="1"/>
  <c r="X68" i="1"/>
  <c r="W68" i="1"/>
  <c r="V68" i="1"/>
  <c r="BW69" i="1" s="1"/>
  <c r="U68" i="1"/>
  <c r="T68" i="1"/>
  <c r="S68" i="1"/>
  <c r="R68" i="1"/>
  <c r="Q68" i="1"/>
  <c r="P68" i="1"/>
  <c r="M68" i="1"/>
  <c r="H68" i="1"/>
  <c r="F68" i="1"/>
  <c r="Y67" i="1"/>
  <c r="X67" i="1"/>
  <c r="W67" i="1"/>
  <c r="V67" i="1"/>
  <c r="BW71" i="1" s="1"/>
  <c r="U67" i="1"/>
  <c r="T67" i="1"/>
  <c r="S67" i="1"/>
  <c r="R67" i="1"/>
  <c r="Q67" i="1"/>
  <c r="P67" i="1"/>
  <c r="H67" i="1"/>
  <c r="F67" i="1"/>
  <c r="M67" i="1" s="1"/>
  <c r="Y63" i="1"/>
  <c r="X63" i="1"/>
  <c r="W63" i="1"/>
  <c r="V63" i="1"/>
  <c r="U63" i="1"/>
  <c r="T63" i="1"/>
  <c r="S63" i="1"/>
  <c r="R63" i="1"/>
  <c r="Q63" i="1"/>
  <c r="P63" i="1"/>
  <c r="M63" i="1"/>
  <c r="H63" i="1"/>
  <c r="F63" i="1"/>
  <c r="Y62" i="1"/>
  <c r="X62" i="1"/>
  <c r="W62" i="1"/>
  <c r="V62" i="1"/>
  <c r="U62" i="1"/>
  <c r="T62" i="1"/>
  <c r="S62" i="1"/>
  <c r="R62" i="1"/>
  <c r="Q62" i="1"/>
  <c r="P62" i="1"/>
  <c r="M62" i="1"/>
  <c r="H62" i="1"/>
  <c r="F62" i="1"/>
  <c r="Y61" i="1"/>
  <c r="X61" i="1"/>
  <c r="W61" i="1"/>
  <c r="V61" i="1"/>
  <c r="U61" i="1"/>
  <c r="T61" i="1"/>
  <c r="S61" i="1"/>
  <c r="R61" i="1"/>
  <c r="Q61" i="1"/>
  <c r="P61" i="1"/>
  <c r="M61" i="1"/>
  <c r="H61" i="1"/>
  <c r="F61" i="1"/>
  <c r="Y60" i="1"/>
  <c r="X60" i="1"/>
  <c r="W60" i="1"/>
  <c r="V60" i="1"/>
  <c r="U60" i="1"/>
  <c r="T60" i="1"/>
  <c r="S60" i="1"/>
  <c r="R60" i="1"/>
  <c r="Q60" i="1"/>
  <c r="P60" i="1"/>
  <c r="H60" i="1"/>
  <c r="F60" i="1"/>
  <c r="M60" i="1" s="1"/>
  <c r="Y59" i="1"/>
  <c r="X59" i="1"/>
  <c r="W59" i="1"/>
  <c r="V59" i="1"/>
  <c r="U59" i="1"/>
  <c r="T59" i="1"/>
  <c r="S59" i="1"/>
  <c r="R59" i="1"/>
  <c r="Q59" i="1"/>
  <c r="P59" i="1"/>
  <c r="M59" i="1"/>
  <c r="H59" i="1"/>
  <c r="F59" i="1"/>
  <c r="Y58" i="1"/>
  <c r="X58" i="1"/>
  <c r="BU60" i="1" s="1"/>
  <c r="W58" i="1"/>
  <c r="V58" i="1"/>
  <c r="U58" i="1"/>
  <c r="T58" i="1"/>
  <c r="S58" i="1"/>
  <c r="R58" i="1"/>
  <c r="Q58" i="1"/>
  <c r="P58" i="1"/>
  <c r="H58" i="1"/>
  <c r="F58" i="1"/>
  <c r="M58" i="1" s="1"/>
  <c r="BH55" i="1"/>
  <c r="Y53" i="1"/>
  <c r="X53" i="1"/>
  <c r="W53" i="1"/>
  <c r="V53" i="1"/>
  <c r="U53" i="1"/>
  <c r="T53" i="1"/>
  <c r="S53" i="1"/>
  <c r="R53" i="1"/>
  <c r="Q53" i="1"/>
  <c r="P53" i="1"/>
  <c r="H53" i="1"/>
  <c r="F53" i="1"/>
  <c r="M53" i="1" s="1"/>
  <c r="Y52" i="1"/>
  <c r="X52" i="1"/>
  <c r="W52" i="1"/>
  <c r="V52" i="1"/>
  <c r="U52" i="1"/>
  <c r="T52" i="1"/>
  <c r="S52" i="1"/>
  <c r="R52" i="1"/>
  <c r="Q52" i="1"/>
  <c r="P52" i="1"/>
  <c r="H52" i="1"/>
  <c r="F52" i="1"/>
  <c r="Y51" i="1"/>
  <c r="X51" i="1"/>
  <c r="W51" i="1"/>
  <c r="V51" i="1"/>
  <c r="U51" i="1"/>
  <c r="T51" i="1"/>
  <c r="S51" i="1"/>
  <c r="R51" i="1"/>
  <c r="Q51" i="1"/>
  <c r="P51" i="1"/>
  <c r="H51" i="1"/>
  <c r="F51" i="1"/>
  <c r="BW50" i="1"/>
  <c r="Y50" i="1"/>
  <c r="X50" i="1"/>
  <c r="W50" i="1"/>
  <c r="V50" i="1"/>
  <c r="U50" i="1"/>
  <c r="T50" i="1"/>
  <c r="S50" i="1"/>
  <c r="R50" i="1"/>
  <c r="Q50" i="1"/>
  <c r="P50" i="1"/>
  <c r="H50" i="1"/>
  <c r="M50" i="1" s="1"/>
  <c r="F50" i="1"/>
  <c r="Y49" i="1"/>
  <c r="X49" i="1"/>
  <c r="W49" i="1"/>
  <c r="BW53" i="1" s="1"/>
  <c r="V49" i="1"/>
  <c r="U49" i="1"/>
  <c r="T49" i="1"/>
  <c r="S49" i="1"/>
  <c r="R49" i="1"/>
  <c r="Q49" i="1"/>
  <c r="P49" i="1"/>
  <c r="H49" i="1"/>
  <c r="M49" i="1" s="1"/>
  <c r="F49" i="1"/>
  <c r="Y48" i="1"/>
  <c r="X48" i="1"/>
  <c r="W48" i="1"/>
  <c r="V48" i="1"/>
  <c r="BW51" i="1" s="1"/>
  <c r="U48" i="1"/>
  <c r="T48" i="1"/>
  <c r="S48" i="1"/>
  <c r="R48" i="1"/>
  <c r="Q48" i="1"/>
  <c r="P48" i="1"/>
  <c r="H48" i="1"/>
  <c r="M48" i="1" s="1"/>
  <c r="F48" i="1"/>
  <c r="Y44" i="1"/>
  <c r="X44" i="1"/>
  <c r="W44" i="1"/>
  <c r="V44" i="1"/>
  <c r="U44" i="1"/>
  <c r="T44" i="1"/>
  <c r="S44" i="1"/>
  <c r="R44" i="1"/>
  <c r="Q44" i="1"/>
  <c r="P44" i="1"/>
  <c r="M44" i="1"/>
  <c r="H44" i="1"/>
  <c r="F44" i="1"/>
  <c r="Y43" i="1"/>
  <c r="X43" i="1"/>
  <c r="W43" i="1"/>
  <c r="V43" i="1"/>
  <c r="U43" i="1"/>
  <c r="T43" i="1"/>
  <c r="S43" i="1"/>
  <c r="R43" i="1"/>
  <c r="Q43" i="1"/>
  <c r="P43" i="1"/>
  <c r="M43" i="1"/>
  <c r="H43" i="1"/>
  <c r="F43" i="1"/>
  <c r="BT42" i="1"/>
  <c r="Y42" i="1"/>
  <c r="X42" i="1"/>
  <c r="W42" i="1"/>
  <c r="V42" i="1"/>
  <c r="U42" i="1"/>
  <c r="T42" i="1"/>
  <c r="S42" i="1"/>
  <c r="R42" i="1"/>
  <c r="Q42" i="1"/>
  <c r="P42" i="1"/>
  <c r="H42" i="1"/>
  <c r="F42" i="1"/>
  <c r="M42" i="1" s="1"/>
  <c r="Y41" i="1"/>
  <c r="X41" i="1"/>
  <c r="W41" i="1"/>
  <c r="V41" i="1"/>
  <c r="U41" i="1"/>
  <c r="T41" i="1"/>
  <c r="S41" i="1"/>
  <c r="R41" i="1"/>
  <c r="Q41" i="1"/>
  <c r="P41" i="1"/>
  <c r="H41" i="1"/>
  <c r="F41" i="1"/>
  <c r="Y40" i="1"/>
  <c r="X40" i="1"/>
  <c r="W40" i="1"/>
  <c r="V40" i="1"/>
  <c r="U40" i="1"/>
  <c r="T40" i="1"/>
  <c r="BV40" i="1" s="1"/>
  <c r="S40" i="1"/>
  <c r="R40" i="1"/>
  <c r="Q40" i="1"/>
  <c r="P40" i="1"/>
  <c r="H40" i="1"/>
  <c r="F40" i="1"/>
  <c r="M40" i="1" s="1"/>
  <c r="Y39" i="1"/>
  <c r="X39" i="1"/>
  <c r="BS41" i="1" s="1"/>
  <c r="W39" i="1"/>
  <c r="BW43" i="1" s="1"/>
  <c r="V39" i="1"/>
  <c r="U39" i="1"/>
  <c r="T39" i="1"/>
  <c r="BV42" i="1" s="1"/>
  <c r="S39" i="1"/>
  <c r="R39" i="1"/>
  <c r="Q39" i="1"/>
  <c r="P39" i="1"/>
  <c r="H39" i="1"/>
  <c r="F39" i="1"/>
  <c r="BH37" i="1"/>
  <c r="CB34" i="1"/>
  <c r="CC34" i="1" s="1"/>
  <c r="AZ67" i="1" s="1"/>
  <c r="Y34" i="1"/>
  <c r="X34" i="1"/>
  <c r="W34" i="1"/>
  <c r="V34" i="1"/>
  <c r="U34" i="1"/>
  <c r="T34" i="1"/>
  <c r="S34" i="1"/>
  <c r="R34" i="1"/>
  <c r="Q34" i="1"/>
  <c r="P34" i="1"/>
  <c r="M34" i="1"/>
  <c r="H34" i="1"/>
  <c r="F34" i="1"/>
  <c r="Y33" i="1"/>
  <c r="X33" i="1"/>
  <c r="W33" i="1"/>
  <c r="V33" i="1"/>
  <c r="U33" i="1"/>
  <c r="T33" i="1"/>
  <c r="S33" i="1"/>
  <c r="R33" i="1"/>
  <c r="Q33" i="1"/>
  <c r="P33" i="1"/>
  <c r="H33" i="1"/>
  <c r="F33" i="1"/>
  <c r="M33" i="1" s="1"/>
  <c r="Y32" i="1"/>
  <c r="X32" i="1"/>
  <c r="W32" i="1"/>
  <c r="V32" i="1"/>
  <c r="U32" i="1"/>
  <c r="T32" i="1"/>
  <c r="S32" i="1"/>
  <c r="R32" i="1"/>
  <c r="Q32" i="1"/>
  <c r="P32" i="1"/>
  <c r="H32" i="1"/>
  <c r="F32" i="1"/>
  <c r="M32" i="1" s="1"/>
  <c r="CB31" i="1"/>
  <c r="CC31" i="1" s="1"/>
  <c r="BB61" i="1" s="1"/>
  <c r="Y31" i="1"/>
  <c r="X31" i="1"/>
  <c r="W31" i="1"/>
  <c r="V31" i="1"/>
  <c r="U31" i="1"/>
  <c r="T31" i="1"/>
  <c r="S31" i="1"/>
  <c r="R31" i="1"/>
  <c r="Q31" i="1"/>
  <c r="P31" i="1"/>
  <c r="H31" i="1"/>
  <c r="F31" i="1"/>
  <c r="CB30" i="1"/>
  <c r="CC30" i="1" s="1"/>
  <c r="AZ61" i="1" s="1"/>
  <c r="Y30" i="1"/>
  <c r="X30" i="1"/>
  <c r="W30" i="1"/>
  <c r="V30" i="1"/>
  <c r="U30" i="1"/>
  <c r="T30" i="1"/>
  <c r="S30" i="1"/>
  <c r="R30" i="1"/>
  <c r="Q30" i="1"/>
  <c r="P30" i="1"/>
  <c r="M30" i="1"/>
  <c r="H30" i="1"/>
  <c r="F30" i="1"/>
  <c r="Y29" i="1"/>
  <c r="X29" i="1"/>
  <c r="W29" i="1"/>
  <c r="V29" i="1"/>
  <c r="U29" i="1"/>
  <c r="T29" i="1"/>
  <c r="BV34" i="1" s="1"/>
  <c r="S29" i="1"/>
  <c r="R29" i="1"/>
  <c r="Q29" i="1"/>
  <c r="P29" i="1"/>
  <c r="H29" i="1"/>
  <c r="M29" i="1" s="1"/>
  <c r="F29" i="1"/>
  <c r="CB25" i="1"/>
  <c r="CC25" i="1" s="1"/>
  <c r="BB49" i="1" s="1"/>
  <c r="Y25" i="1"/>
  <c r="X25" i="1"/>
  <c r="W25" i="1"/>
  <c r="V25" i="1"/>
  <c r="U25" i="1"/>
  <c r="T25" i="1"/>
  <c r="S25" i="1"/>
  <c r="R25" i="1"/>
  <c r="Q25" i="1"/>
  <c r="P25" i="1"/>
  <c r="H25" i="1"/>
  <c r="F25" i="1"/>
  <c r="M25" i="1" s="1"/>
  <c r="CB24" i="1"/>
  <c r="CC24" i="1" s="1"/>
  <c r="AZ49" i="1" s="1"/>
  <c r="Y24" i="1"/>
  <c r="X24" i="1"/>
  <c r="W24" i="1"/>
  <c r="V24" i="1"/>
  <c r="U24" i="1"/>
  <c r="T24" i="1"/>
  <c r="S24" i="1"/>
  <c r="R24" i="1"/>
  <c r="Q24" i="1"/>
  <c r="P24" i="1"/>
  <c r="H24" i="1"/>
  <c r="F24" i="1"/>
  <c r="CB23" i="1"/>
  <c r="CC23" i="1" s="1"/>
  <c r="BB40" i="1" s="1"/>
  <c r="BV23" i="1"/>
  <c r="Y23" i="1"/>
  <c r="X23" i="1"/>
  <c r="W23" i="1"/>
  <c r="V23" i="1"/>
  <c r="U23" i="1"/>
  <c r="T23" i="1"/>
  <c r="S23" i="1"/>
  <c r="R23" i="1"/>
  <c r="Q23" i="1"/>
  <c r="P23" i="1"/>
  <c r="H23" i="1"/>
  <c r="M23" i="1" s="1"/>
  <c r="F23" i="1"/>
  <c r="CB22" i="1"/>
  <c r="CC22" i="1" s="1"/>
  <c r="AZ40" i="1" s="1"/>
  <c r="Y22" i="1"/>
  <c r="X22" i="1"/>
  <c r="W22" i="1"/>
  <c r="V22" i="1"/>
  <c r="U22" i="1"/>
  <c r="T22" i="1"/>
  <c r="BV24" i="1" s="1"/>
  <c r="S22" i="1"/>
  <c r="R22" i="1"/>
  <c r="Q22" i="1"/>
  <c r="P22" i="1"/>
  <c r="H22" i="1"/>
  <c r="M22" i="1" s="1"/>
  <c r="F22" i="1"/>
  <c r="Y21" i="1"/>
  <c r="X21" i="1"/>
  <c r="W21" i="1"/>
  <c r="V21" i="1"/>
  <c r="U21" i="1"/>
  <c r="T21" i="1"/>
  <c r="S21" i="1"/>
  <c r="R21" i="1"/>
  <c r="Q21" i="1"/>
  <c r="P21" i="1"/>
  <c r="H21" i="1"/>
  <c r="F21" i="1"/>
  <c r="M21" i="1" s="1"/>
  <c r="Y20" i="1"/>
  <c r="X20" i="1"/>
  <c r="W20" i="1"/>
  <c r="V20" i="1"/>
  <c r="U20" i="1"/>
  <c r="T20" i="1"/>
  <c r="S20" i="1"/>
  <c r="R20" i="1"/>
  <c r="Q20" i="1"/>
  <c r="P20" i="1"/>
  <c r="H20" i="1"/>
  <c r="M20" i="1" s="1"/>
  <c r="F20" i="1"/>
  <c r="CB16" i="1"/>
  <c r="CC16" i="1" s="1"/>
  <c r="BB23" i="1" s="1"/>
  <c r="Y16" i="1"/>
  <c r="X16" i="1"/>
  <c r="W16" i="1"/>
  <c r="V16" i="1"/>
  <c r="U16" i="1"/>
  <c r="T16" i="1"/>
  <c r="S16" i="1"/>
  <c r="R16" i="1"/>
  <c r="Q16" i="1"/>
  <c r="P16" i="1"/>
  <c r="H16" i="1"/>
  <c r="F16" i="1"/>
  <c r="M16" i="1" s="1"/>
  <c r="CB15" i="1"/>
  <c r="CC15" i="1" s="1"/>
  <c r="AZ23" i="1" s="1"/>
  <c r="Y15" i="1"/>
  <c r="X15" i="1"/>
  <c r="W15" i="1"/>
  <c r="V15" i="1"/>
  <c r="U15" i="1"/>
  <c r="T15" i="1"/>
  <c r="S15" i="1"/>
  <c r="R15" i="1"/>
  <c r="Q15" i="1"/>
  <c r="P15" i="1"/>
  <c r="H15" i="1"/>
  <c r="F15" i="1"/>
  <c r="CB14" i="1"/>
  <c r="CC14" i="1" s="1"/>
  <c r="BB15" i="1" s="1"/>
  <c r="Y14" i="1"/>
  <c r="X14" i="1"/>
  <c r="W14" i="1"/>
  <c r="V14" i="1"/>
  <c r="U14" i="1"/>
  <c r="T14" i="1"/>
  <c r="S14" i="1"/>
  <c r="R14" i="1"/>
  <c r="Q14" i="1"/>
  <c r="P14" i="1"/>
  <c r="H14" i="1"/>
  <c r="F14" i="1"/>
  <c r="CB13" i="1"/>
  <c r="CC13" i="1" s="1"/>
  <c r="AZ15" i="1" s="1"/>
  <c r="Y13" i="1"/>
  <c r="X13" i="1"/>
  <c r="W13" i="1"/>
  <c r="V13" i="1"/>
  <c r="U13" i="1"/>
  <c r="T13" i="1"/>
  <c r="S13" i="1"/>
  <c r="R13" i="1"/>
  <c r="Q13" i="1"/>
  <c r="P13" i="1"/>
  <c r="H13" i="1"/>
  <c r="F13" i="1"/>
  <c r="Y12" i="1"/>
  <c r="X12" i="1"/>
  <c r="W12" i="1"/>
  <c r="V12" i="1"/>
  <c r="U12" i="1"/>
  <c r="T12" i="1"/>
  <c r="S12" i="1"/>
  <c r="R12" i="1"/>
  <c r="Q12" i="1"/>
  <c r="P12" i="1"/>
  <c r="H12" i="1"/>
  <c r="F12" i="1"/>
  <c r="M12" i="1" s="1"/>
  <c r="Y11" i="1"/>
  <c r="X11" i="1"/>
  <c r="W11" i="1"/>
  <c r="V11" i="1"/>
  <c r="U11" i="1"/>
  <c r="T11" i="1"/>
  <c r="S11" i="1"/>
  <c r="R11" i="1"/>
  <c r="Q11" i="1"/>
  <c r="P11" i="1"/>
  <c r="H11" i="1"/>
  <c r="F11" i="1"/>
  <c r="Y7" i="1"/>
  <c r="X7" i="1"/>
  <c r="W7" i="1"/>
  <c r="V7" i="1"/>
  <c r="U7" i="1"/>
  <c r="T7" i="1"/>
  <c r="S7" i="1"/>
  <c r="R7" i="1"/>
  <c r="Q7" i="1"/>
  <c r="P7" i="1"/>
  <c r="H7" i="1"/>
  <c r="F7" i="1"/>
  <c r="M7" i="1" s="1"/>
  <c r="CB6" i="1"/>
  <c r="CC6" i="1" s="1"/>
  <c r="BB31" i="1" s="1"/>
  <c r="Y6" i="1"/>
  <c r="X6" i="1"/>
  <c r="W6" i="1"/>
  <c r="V6" i="1"/>
  <c r="U6" i="1"/>
  <c r="T6" i="1"/>
  <c r="S6" i="1"/>
  <c r="R6" i="1"/>
  <c r="Q6" i="1"/>
  <c r="P6" i="1"/>
  <c r="H6" i="1"/>
  <c r="F6" i="1"/>
  <c r="CB5" i="1"/>
  <c r="CC5" i="1" s="1"/>
  <c r="AZ31" i="1" s="1"/>
  <c r="Y5" i="1"/>
  <c r="X5" i="1"/>
  <c r="W5" i="1"/>
  <c r="V5" i="1"/>
  <c r="U5" i="1"/>
  <c r="T5" i="1"/>
  <c r="S5" i="1"/>
  <c r="R5" i="1"/>
  <c r="Q5" i="1"/>
  <c r="P5" i="1"/>
  <c r="H5" i="1"/>
  <c r="F5" i="1"/>
  <c r="M5" i="1" s="1"/>
  <c r="CB4" i="1"/>
  <c r="CC4" i="1" s="1"/>
  <c r="BB7" i="1" s="1"/>
  <c r="Y4" i="1"/>
  <c r="X4" i="1"/>
  <c r="W4" i="1"/>
  <c r="V4" i="1"/>
  <c r="U4" i="1"/>
  <c r="T4" i="1"/>
  <c r="S4" i="1"/>
  <c r="R4" i="1"/>
  <c r="Q4" i="1"/>
  <c r="P4" i="1"/>
  <c r="H4" i="1"/>
  <c r="F4" i="1"/>
  <c r="CB3" i="1"/>
  <c r="CC3" i="1" s="1"/>
  <c r="AZ7" i="1" s="1"/>
  <c r="Y3" i="1"/>
  <c r="X3" i="1"/>
  <c r="W3" i="1"/>
  <c r="V3" i="1"/>
  <c r="U3" i="1"/>
  <c r="T3" i="1"/>
  <c r="S3" i="1"/>
  <c r="R3" i="1"/>
  <c r="Q3" i="1"/>
  <c r="P3" i="1"/>
  <c r="H3" i="1"/>
  <c r="M3" i="1" s="1"/>
  <c r="F3" i="1"/>
  <c r="Y2" i="1"/>
  <c r="X2" i="1"/>
  <c r="W2" i="1"/>
  <c r="V2" i="1"/>
  <c r="BW5" i="1" s="1"/>
  <c r="U2" i="1"/>
  <c r="T2" i="1"/>
  <c r="S2" i="1"/>
  <c r="R2" i="1"/>
  <c r="Q2" i="1"/>
  <c r="P2" i="1"/>
  <c r="H2" i="1"/>
  <c r="F2" i="1"/>
  <c r="M2" i="1" s="1"/>
  <c r="BW3" i="1" l="1"/>
  <c r="BV3" i="1"/>
  <c r="BV6" i="1"/>
  <c r="BT4" i="1"/>
  <c r="BS5" i="1"/>
  <c r="BU4" i="1"/>
  <c r="BS71" i="1"/>
  <c r="BU72" i="1"/>
  <c r="BV72" i="1"/>
  <c r="BV71" i="1"/>
  <c r="BU61" i="1"/>
  <c r="BW63" i="1"/>
  <c r="BS52" i="1"/>
  <c r="BW52" i="1"/>
  <c r="BV53" i="1"/>
  <c r="BS43" i="1"/>
  <c r="BT43" i="1"/>
  <c r="BT22" i="1"/>
  <c r="BW25" i="1"/>
  <c r="BT15" i="1"/>
  <c r="M11" i="1"/>
  <c r="M13" i="1"/>
  <c r="M41" i="1"/>
  <c r="M4" i="1"/>
  <c r="M14" i="1"/>
  <c r="M15" i="1"/>
  <c r="M24" i="1"/>
  <c r="M31" i="1"/>
  <c r="M52" i="1"/>
  <c r="M70" i="1"/>
  <c r="BW15" i="1"/>
  <c r="BW14" i="1"/>
  <c r="BW13" i="1"/>
  <c r="BS34" i="1"/>
  <c r="BT34" i="1"/>
  <c r="BS33" i="1"/>
  <c r="BS32" i="1"/>
  <c r="BS31" i="1"/>
  <c r="BU34" i="1"/>
  <c r="BT33" i="1"/>
  <c r="BU32" i="1"/>
  <c r="BU31" i="1"/>
  <c r="BT3" i="1"/>
  <c r="BU5" i="1"/>
  <c r="BT6" i="1"/>
  <c r="BV16" i="1"/>
  <c r="BT16" i="1"/>
  <c r="BS15" i="1"/>
  <c r="BX15" i="1" s="1"/>
  <c r="BS14" i="1"/>
  <c r="BS13" i="1"/>
  <c r="BU15" i="1"/>
  <c r="BU14" i="1"/>
  <c r="BU13" i="1"/>
  <c r="BV13" i="1"/>
  <c r="BU3" i="1"/>
  <c r="BW16" i="1"/>
  <c r="BV25" i="1"/>
  <c r="BS24" i="1"/>
  <c r="BU23" i="1"/>
  <c r="BS22" i="1"/>
  <c r="BT25" i="1"/>
  <c r="BU24" i="1"/>
  <c r="BS23" i="1"/>
  <c r="BX23" i="1" s="1"/>
  <c r="BU22" i="1"/>
  <c r="BV22" i="1"/>
  <c r="BT23" i="1"/>
  <c r="BV31" i="1"/>
  <c r="BW42" i="1"/>
  <c r="BY42" i="1" s="1"/>
  <c r="BW41" i="1"/>
  <c r="BW40" i="1"/>
  <c r="BS53" i="1"/>
  <c r="BX53" i="1" s="1"/>
  <c r="BV62" i="1"/>
  <c r="BV61" i="1"/>
  <c r="BV60" i="1"/>
  <c r="BV63" i="1"/>
  <c r="BS63" i="1"/>
  <c r="BU63" i="1"/>
  <c r="BT62" i="1"/>
  <c r="BT61" i="1"/>
  <c r="BT60" i="1"/>
  <c r="BT63" i="1"/>
  <c r="BS62" i="1"/>
  <c r="BX62" i="1" s="1"/>
  <c r="BS61" i="1"/>
  <c r="BX61" i="1" s="1"/>
  <c r="BS60" i="1"/>
  <c r="BU62" i="1"/>
  <c r="BW4" i="1"/>
  <c r="BW6" i="1"/>
  <c r="BS25" i="1"/>
  <c r="BV5" i="1"/>
  <c r="BV4" i="1"/>
  <c r="BU6" i="1"/>
  <c r="BS3" i="1"/>
  <c r="BS4" i="1"/>
  <c r="BT5" i="1"/>
  <c r="M6" i="1"/>
  <c r="BS6" i="1"/>
  <c r="BT13" i="1"/>
  <c r="BT14" i="1"/>
  <c r="BV15" i="1"/>
  <c r="BS16" i="1"/>
  <c r="BW24" i="1"/>
  <c r="BW22" i="1"/>
  <c r="BW23" i="1"/>
  <c r="BY23" i="1" s="1"/>
  <c r="BT24" i="1"/>
  <c r="BU25" i="1"/>
  <c r="BT32" i="1"/>
  <c r="BX43" i="1"/>
  <c r="BV33" i="1"/>
  <c r="BV32" i="1"/>
  <c r="BV14" i="1"/>
  <c r="BU16" i="1"/>
  <c r="BW34" i="1"/>
  <c r="BW33" i="1"/>
  <c r="BW32" i="1"/>
  <c r="BW31" i="1"/>
  <c r="BT31" i="1"/>
  <c r="BU33" i="1"/>
  <c r="BT50" i="1"/>
  <c r="M51" i="1"/>
  <c r="M39" i="1"/>
  <c r="BS40" i="1"/>
  <c r="BV41" i="1"/>
  <c r="BU42" i="1"/>
  <c r="BV52" i="1"/>
  <c r="BT53" i="1"/>
  <c r="BS51" i="1"/>
  <c r="BT52" i="1"/>
  <c r="BX52" i="1" s="1"/>
  <c r="BU43" i="1"/>
  <c r="BS50" i="1"/>
  <c r="BT51" i="1"/>
  <c r="BU40" i="1"/>
  <c r="BU41" i="1"/>
  <c r="BS42" i="1"/>
  <c r="BX42" i="1" s="1"/>
  <c r="BV43" i="1"/>
  <c r="BY43" i="1" s="1"/>
  <c r="BV50" i="1"/>
  <c r="BV51" i="1"/>
  <c r="BU53" i="1"/>
  <c r="BW60" i="1"/>
  <c r="BW61" i="1"/>
  <c r="BW62" i="1"/>
  <c r="BV69" i="1"/>
  <c r="BT70" i="1"/>
  <c r="BT71" i="1"/>
  <c r="BX71" i="1" s="1"/>
  <c r="BY71" i="1" s="1"/>
  <c r="BS72" i="1"/>
  <c r="BW72" i="1"/>
  <c r="BS69" i="1"/>
  <c r="BU70" i="1"/>
  <c r="BU71" i="1"/>
  <c r="BT72" i="1"/>
  <c r="BT40" i="1"/>
  <c r="BT41" i="1"/>
  <c r="BX41" i="1" s="1"/>
  <c r="BU50" i="1"/>
  <c r="BU51" i="1"/>
  <c r="BU52" i="1"/>
  <c r="BU69" i="1"/>
  <c r="BS70" i="1"/>
  <c r="BW70" i="1"/>
  <c r="BX4" i="1" l="1"/>
  <c r="BY4" i="1" s="1"/>
  <c r="BX5" i="1"/>
  <c r="BY5" i="1" s="1"/>
  <c r="BX6" i="1"/>
  <c r="BY6" i="1" s="1"/>
  <c r="BX25" i="1"/>
  <c r="BY15" i="1"/>
  <c r="M74" i="1"/>
  <c r="BH78" i="1" s="1"/>
  <c r="BY72" i="1"/>
  <c r="BX51" i="1"/>
  <c r="BY41" i="1"/>
  <c r="BX24" i="1"/>
  <c r="BY24" i="1" s="1"/>
  <c r="CA14" i="1"/>
  <c r="AN12" i="1" s="1"/>
  <c r="BX13" i="1"/>
  <c r="BY13" i="1" s="1"/>
  <c r="CA13" i="1"/>
  <c r="AL21" i="1" s="1"/>
  <c r="CA32" i="1"/>
  <c r="AN3" i="1" s="1"/>
  <c r="CA31" i="1"/>
  <c r="AL30" i="1" s="1"/>
  <c r="BX31" i="1"/>
  <c r="BY31" i="1" s="1"/>
  <c r="BX34" i="1"/>
  <c r="BY34" i="1" s="1"/>
  <c r="BX70" i="1"/>
  <c r="BY70" i="1" s="1"/>
  <c r="BX72" i="1"/>
  <c r="BY51" i="1"/>
  <c r="CA51" i="1"/>
  <c r="AN40" i="1" s="1"/>
  <c r="CA50" i="1"/>
  <c r="AL59" i="1" s="1"/>
  <c r="BX50" i="1"/>
  <c r="BX40" i="1"/>
  <c r="BY40" i="1" s="1"/>
  <c r="CA41" i="1"/>
  <c r="AN59" i="1" s="1"/>
  <c r="CA40" i="1"/>
  <c r="AL40" i="1" s="1"/>
  <c r="BY53" i="1"/>
  <c r="BY61" i="1"/>
  <c r="BY25" i="1"/>
  <c r="BX14" i="1"/>
  <c r="BY14" i="1" s="1"/>
  <c r="BX32" i="1"/>
  <c r="BY32" i="1" s="1"/>
  <c r="CA69" i="1"/>
  <c r="AL68" i="1" s="1"/>
  <c r="BX69" i="1"/>
  <c r="BY69" i="1" s="1"/>
  <c r="CA70" i="1"/>
  <c r="AN49" i="1" s="1"/>
  <c r="BY50" i="1"/>
  <c r="BY52" i="1"/>
  <c r="BX16" i="1"/>
  <c r="BY16" i="1" s="1"/>
  <c r="BX3" i="1"/>
  <c r="BY3" i="1" s="1"/>
  <c r="CA61" i="1"/>
  <c r="AN68" i="1" s="1"/>
  <c r="CA60" i="1"/>
  <c r="AL49" i="1" s="1"/>
  <c r="BX60" i="1"/>
  <c r="BY60" i="1" s="1"/>
  <c r="BX63" i="1"/>
  <c r="BY63" i="1" s="1"/>
  <c r="BQ63" i="1" s="1"/>
  <c r="BY62" i="1"/>
  <c r="CA23" i="1"/>
  <c r="AN30" i="1" s="1"/>
  <c r="CA22" i="1"/>
  <c r="AL3" i="1" s="1"/>
  <c r="BX22" i="1"/>
  <c r="BY22" i="1" s="1"/>
  <c r="BQ22" i="1" s="1"/>
  <c r="BX33" i="1"/>
  <c r="BY33" i="1" s="1"/>
  <c r="BQ70" i="1" l="1"/>
  <c r="BQ50" i="1"/>
  <c r="BQ41" i="1"/>
  <c r="BQ33" i="1"/>
  <c r="BQ16" i="1"/>
  <c r="BQ31" i="1"/>
  <c r="BQ13" i="1"/>
  <c r="BQ15" i="1"/>
  <c r="BQ32" i="1"/>
  <c r="BQ34" i="1"/>
  <c r="BQ60" i="1"/>
  <c r="BQ3" i="1"/>
  <c r="BQ6" i="1"/>
  <c r="BQ4" i="1"/>
  <c r="BQ62" i="1"/>
  <c r="AG21" i="1"/>
  <c r="AC21" i="1"/>
  <c r="AH22" i="1"/>
  <c r="AE21" i="1"/>
  <c r="AD21" i="1"/>
  <c r="AF21" i="1"/>
  <c r="AH21" i="1"/>
  <c r="BQ40" i="1"/>
  <c r="BQ43" i="1"/>
  <c r="BQ61" i="1"/>
  <c r="AG49" i="1"/>
  <c r="AC49" i="1"/>
  <c r="AH49" i="1"/>
  <c r="AD49" i="1"/>
  <c r="AE49" i="1"/>
  <c r="AF49" i="1"/>
  <c r="BQ24" i="1"/>
  <c r="AG24" i="1" s="1"/>
  <c r="BQ72" i="1"/>
  <c r="BQ14" i="1"/>
  <c r="BQ5" i="1"/>
  <c r="BQ51" i="1"/>
  <c r="AF50" i="1" s="1"/>
  <c r="BQ69" i="1"/>
  <c r="BQ71" i="1"/>
  <c r="BQ42" i="1"/>
  <c r="BQ52" i="1"/>
  <c r="BQ25" i="1"/>
  <c r="BQ53" i="1"/>
  <c r="BQ23" i="1"/>
  <c r="AH23" i="1" s="1"/>
  <c r="AF52" i="1" l="1"/>
  <c r="AD51" i="1"/>
  <c r="AF51" i="1"/>
  <c r="AE50" i="1"/>
  <c r="AD50" i="1"/>
  <c r="AC51" i="1"/>
  <c r="AE51" i="1"/>
  <c r="AH51" i="1"/>
  <c r="AE23" i="1"/>
  <c r="AG23" i="1"/>
  <c r="AE22" i="1"/>
  <c r="AD23" i="1"/>
  <c r="AD52" i="1"/>
  <c r="AF43" i="1"/>
  <c r="AG42" i="1"/>
  <c r="AC42" i="1"/>
  <c r="AG41" i="1"/>
  <c r="AC41" i="1"/>
  <c r="AG40" i="1"/>
  <c r="AC40" i="1"/>
  <c r="AG43" i="1"/>
  <c r="AC43" i="1"/>
  <c r="AH42" i="1"/>
  <c r="AD42" i="1"/>
  <c r="AH41" i="1"/>
  <c r="AD41" i="1"/>
  <c r="AH40" i="1"/>
  <c r="AD40" i="1"/>
  <c r="AE43" i="1"/>
  <c r="AF41" i="1"/>
  <c r="AD43" i="1"/>
  <c r="AF42" i="1"/>
  <c r="AE41" i="1"/>
  <c r="AF40" i="1"/>
  <c r="AH43" i="1"/>
  <c r="AE42" i="1"/>
  <c r="AE40" i="1"/>
  <c r="AC24" i="1"/>
  <c r="AE24" i="1"/>
  <c r="AF23" i="1"/>
  <c r="AF24" i="1"/>
  <c r="AH6" i="1"/>
  <c r="AD6" i="1"/>
  <c r="AG5" i="1"/>
  <c r="AC5" i="1"/>
  <c r="AE4" i="1"/>
  <c r="AF6" i="1"/>
  <c r="AD5" i="1"/>
  <c r="AF5" i="1"/>
  <c r="AH4" i="1"/>
  <c r="AG3" i="1"/>
  <c r="AE6" i="1"/>
  <c r="AH5" i="1"/>
  <c r="AD4" i="1"/>
  <c r="AH3" i="1"/>
  <c r="AD3" i="1"/>
  <c r="AG6" i="1"/>
  <c r="AE5" i="1"/>
  <c r="AG4" i="1"/>
  <c r="AF3" i="1"/>
  <c r="AF4" i="1"/>
  <c r="AE3" i="1"/>
  <c r="AC6" i="1"/>
  <c r="AC4" i="1"/>
  <c r="CA4" i="1" s="1"/>
  <c r="AN21" i="1" s="1"/>
  <c r="AC3" i="1"/>
  <c r="CA3" i="1" s="1"/>
  <c r="AL12" i="1" s="1"/>
  <c r="AE52" i="1"/>
  <c r="AD24" i="1"/>
  <c r="AF22" i="1"/>
  <c r="AE62" i="1"/>
  <c r="AE61" i="1"/>
  <c r="AE60" i="1"/>
  <c r="AF59" i="1"/>
  <c r="AG62" i="1"/>
  <c r="AC62" i="1"/>
  <c r="AG61" i="1"/>
  <c r="AC61" i="1"/>
  <c r="AG60" i="1"/>
  <c r="AC60" i="1"/>
  <c r="AH59" i="1"/>
  <c r="AD59" i="1"/>
  <c r="AF62" i="1"/>
  <c r="AF61" i="1"/>
  <c r="AF60" i="1"/>
  <c r="AG59" i="1"/>
  <c r="AC59" i="1"/>
  <c r="AD60" i="1"/>
  <c r="AD62" i="1"/>
  <c r="AD61" i="1"/>
  <c r="AH60" i="1"/>
  <c r="AE59" i="1"/>
  <c r="AH61" i="1"/>
  <c r="AH62" i="1"/>
  <c r="AH15" i="1"/>
  <c r="AD15" i="1"/>
  <c r="AH14" i="1"/>
  <c r="AD14" i="1"/>
  <c r="AF13" i="1"/>
  <c r="AG12" i="1"/>
  <c r="AC12" i="1"/>
  <c r="AF15" i="1"/>
  <c r="AF14" i="1"/>
  <c r="AH13" i="1"/>
  <c r="AD13" i="1"/>
  <c r="AE12" i="1"/>
  <c r="AE13" i="1"/>
  <c r="AF12" i="1"/>
  <c r="AG15" i="1"/>
  <c r="AG14" i="1"/>
  <c r="AC13" i="1"/>
  <c r="AD12" i="1"/>
  <c r="AE14" i="1"/>
  <c r="AC15" i="1"/>
  <c r="AC14" i="1"/>
  <c r="AG13" i="1"/>
  <c r="AH12" i="1"/>
  <c r="AE15" i="1"/>
  <c r="AF71" i="1"/>
  <c r="AH70" i="1"/>
  <c r="AD70" i="1"/>
  <c r="AH69" i="1"/>
  <c r="AD69" i="1"/>
  <c r="AE68" i="1"/>
  <c r="AH71" i="1"/>
  <c r="AD71" i="1"/>
  <c r="AF70" i="1"/>
  <c r="AF69" i="1"/>
  <c r="AG68" i="1"/>
  <c r="AC68" i="1"/>
  <c r="AG71" i="1"/>
  <c r="AC71" i="1"/>
  <c r="AE70" i="1"/>
  <c r="AE69" i="1"/>
  <c r="AF68" i="1"/>
  <c r="AH68" i="1"/>
  <c r="AD68" i="1"/>
  <c r="AE71" i="1"/>
  <c r="AC70" i="1"/>
  <c r="AC69" i="1"/>
  <c r="AG70" i="1"/>
  <c r="AG69" i="1"/>
  <c r="AG52" i="1"/>
  <c r="AG50" i="1"/>
  <c r="AH50" i="1"/>
  <c r="AH52" i="1"/>
  <c r="AG51" i="1"/>
  <c r="AC50" i="1"/>
  <c r="AC52" i="1"/>
  <c r="AC23" i="1"/>
  <c r="AG22" i="1"/>
  <c r="AC22" i="1"/>
  <c r="AD22" i="1"/>
  <c r="AH24" i="1"/>
  <c r="AE33" i="1"/>
  <c r="AG32" i="1"/>
  <c r="AC32" i="1"/>
  <c r="AF33" i="1"/>
  <c r="AH32" i="1"/>
  <c r="AD32" i="1"/>
  <c r="AG33" i="1"/>
  <c r="AH31" i="1"/>
  <c r="AD31" i="1"/>
  <c r="AG30" i="1"/>
  <c r="AC30" i="1"/>
  <c r="AC33" i="1"/>
  <c r="AF32" i="1"/>
  <c r="AF31" i="1"/>
  <c r="AE30" i="1"/>
  <c r="AE32" i="1"/>
  <c r="AE31" i="1"/>
  <c r="AH33" i="1"/>
  <c r="AC31" i="1"/>
  <c r="AH30" i="1"/>
  <c r="AD33" i="1"/>
  <c r="AF30" i="1"/>
  <c r="AG31" i="1"/>
  <c r="AD30" i="1"/>
  <c r="AN14" i="1" l="1"/>
  <c r="AN5" i="1"/>
  <c r="AN32" i="1"/>
  <c r="AN70" i="1"/>
  <c r="AN61" i="1"/>
  <c r="AN23" i="1"/>
  <c r="AN51" i="1"/>
  <c r="AL42" i="1" l="1"/>
  <c r="AL32" i="1"/>
  <c r="AL23" i="1"/>
  <c r="AN42" i="1"/>
  <c r="AL70" i="1"/>
  <c r="AL61" i="1"/>
  <c r="AL51" i="1"/>
  <c r="AZ34" i="1"/>
  <c r="BB25" i="1"/>
  <c r="AZ17" i="1"/>
  <c r="BB34" i="1"/>
  <c r="BB17" i="1"/>
  <c r="AZ51" i="1"/>
  <c r="BB43" i="1" l="1"/>
  <c r="AL5" i="1"/>
  <c r="AL14" i="1"/>
  <c r="AZ25" i="1"/>
  <c r="AZ10" i="1"/>
  <c r="BB10" i="1" l="1"/>
  <c r="BB51" i="1"/>
  <c r="AZ43" i="1"/>
  <c r="BB63" i="1" l="1"/>
  <c r="AZ63" i="1"/>
</calcChain>
</file>

<file path=xl/sharedStrings.xml><?xml version="1.0" encoding="utf-8"?>
<sst xmlns="http://schemas.openxmlformats.org/spreadsheetml/2006/main" count="608" uniqueCount="111">
  <si>
    <t>Gruppe A</t>
  </si>
  <si>
    <t>Ergebnis</t>
  </si>
  <si>
    <t>Punkte</t>
  </si>
  <si>
    <t>S</t>
  </si>
  <si>
    <t>U</t>
  </si>
  <si>
    <t>N</t>
  </si>
  <si>
    <t>Tore</t>
  </si>
  <si>
    <t>14.06.</t>
  </si>
  <si>
    <t>Russland</t>
  </si>
  <si>
    <t xml:space="preserve"> -</t>
  </si>
  <si>
    <t>Saudi Arabien</t>
  </si>
  <si>
    <t>:</t>
  </si>
  <si>
    <t>1. Achtelfinale</t>
  </si>
  <si>
    <t>Pkt.</t>
  </si>
  <si>
    <t>Name:</t>
  </si>
  <si>
    <t>Platz</t>
  </si>
  <si>
    <t>Sieg</t>
  </si>
  <si>
    <t>Unent</t>
  </si>
  <si>
    <t>Niederl</t>
  </si>
  <si>
    <t>Gegentore</t>
  </si>
  <si>
    <t>R</t>
  </si>
  <si>
    <t>Achtelfinale</t>
  </si>
  <si>
    <t>15.06.</t>
  </si>
  <si>
    <t>Ägypten</t>
  </si>
  <si>
    <t>Uruguay</t>
  </si>
  <si>
    <t>Tipp:</t>
  </si>
  <si>
    <t>19.06.</t>
  </si>
  <si>
    <t>20.06.</t>
  </si>
  <si>
    <t>30.06.</t>
  </si>
  <si>
    <t>25.06.</t>
  </si>
  <si>
    <t>1. Viertelfinale</t>
  </si>
  <si>
    <t>Tipp</t>
  </si>
  <si>
    <t/>
  </si>
  <si>
    <t>Gruppe B</t>
  </si>
  <si>
    <t>06.07.</t>
  </si>
  <si>
    <t>Marokko</t>
  </si>
  <si>
    <t>Iran</t>
  </si>
  <si>
    <t>2. Achtelfinale</t>
  </si>
  <si>
    <t>Portugal</t>
  </si>
  <si>
    <t>Spanien</t>
  </si>
  <si>
    <t>2. Viertelfinale</t>
  </si>
  <si>
    <t>Gruppe C</t>
  </si>
  <si>
    <t>16.06.</t>
  </si>
  <si>
    <t>Frankreich</t>
  </si>
  <si>
    <t>Australien</t>
  </si>
  <si>
    <t>3. Achtelfinale</t>
  </si>
  <si>
    <t>Gesamtsumme Halbfinale</t>
  </si>
  <si>
    <t>Peru</t>
  </si>
  <si>
    <t>Dänemark</t>
  </si>
  <si>
    <t>Viertelfinale</t>
  </si>
  <si>
    <t>21.06.</t>
  </si>
  <si>
    <t>3. Viertelfinale</t>
  </si>
  <si>
    <t>01.07.</t>
  </si>
  <si>
    <t>26.06.</t>
  </si>
  <si>
    <t>07.07.</t>
  </si>
  <si>
    <t>Gruppe D</t>
  </si>
  <si>
    <t>Argentinien</t>
  </si>
  <si>
    <t>Island</t>
  </si>
  <si>
    <t>4. Achtelfinale</t>
  </si>
  <si>
    <t>Halbfinale</t>
  </si>
  <si>
    <t>Kroatien</t>
  </si>
  <si>
    <t>Nigeria</t>
  </si>
  <si>
    <t>4. Viertelfinale</t>
  </si>
  <si>
    <t>22.06.</t>
  </si>
  <si>
    <t>Finale</t>
  </si>
  <si>
    <t>Punkte Viertelfinale</t>
  </si>
  <si>
    <t>Gruppe E</t>
  </si>
  <si>
    <t>17.06.</t>
  </si>
  <si>
    <t>Costa Rica</t>
  </si>
  <si>
    <t>Serbien</t>
  </si>
  <si>
    <t>5. Achtelfinale</t>
  </si>
  <si>
    <t>1. Halbfinale</t>
  </si>
  <si>
    <t>Brasilien</t>
  </si>
  <si>
    <t>Schweiz</t>
  </si>
  <si>
    <t>02.07.</t>
  </si>
  <si>
    <t>27.06.</t>
  </si>
  <si>
    <t>10.07.</t>
  </si>
  <si>
    <t>Gruppe F</t>
  </si>
  <si>
    <t>Deutschland</t>
  </si>
  <si>
    <t>Mexiko</t>
  </si>
  <si>
    <t>6. Achtelfinale</t>
  </si>
  <si>
    <t>2. Halbfinale</t>
  </si>
  <si>
    <t>18.06.</t>
  </si>
  <si>
    <t>Schweden</t>
  </si>
  <si>
    <t>Südkorea</t>
  </si>
  <si>
    <t>23.06.</t>
  </si>
  <si>
    <t>11.07.</t>
  </si>
  <si>
    <t>Punkte Halbfinale</t>
  </si>
  <si>
    <t>Gruppe G</t>
  </si>
  <si>
    <t>Belgien</t>
  </si>
  <si>
    <t>Panama</t>
  </si>
  <si>
    <t>7. Achtelfinale</t>
  </si>
  <si>
    <t>Tunesien</t>
  </si>
  <si>
    <t>England</t>
  </si>
  <si>
    <t>24.06.</t>
  </si>
  <si>
    <t>03.07.</t>
  </si>
  <si>
    <t>28.06.</t>
  </si>
  <si>
    <t>15.07.</t>
  </si>
  <si>
    <t>Gruppe H</t>
  </si>
  <si>
    <t>Kolumbien</t>
  </si>
  <si>
    <t>Japan</t>
  </si>
  <si>
    <t>8. Achtelfinale</t>
  </si>
  <si>
    <t>Polen</t>
  </si>
  <si>
    <t>Senegal</t>
  </si>
  <si>
    <t>Dein Tipp</t>
  </si>
  <si>
    <t>Europameister 2012</t>
  </si>
  <si>
    <t>Punkte Vorrunde</t>
  </si>
  <si>
    <t>Punkte Achtelfinale</t>
  </si>
  <si>
    <t>Punkte Finale</t>
  </si>
  <si>
    <t>Punkte Weltmeister</t>
  </si>
  <si>
    <t>Punkte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</si>
</sst>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sz val="7.5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2"/>
      <name val="Arial Black"/>
      <family val="2"/>
    </font>
    <font>
      <sz val="8"/>
      <color theme="0"/>
      <name val="Arial Black"/>
      <family val="2"/>
    </font>
    <font>
      <b/>
      <sz val="8"/>
      <color theme="0"/>
      <name val="Arial Black"/>
      <family val="2"/>
    </font>
    <font>
      <b/>
      <sz val="12"/>
      <name val="Arial Black"/>
      <family val="2"/>
    </font>
    <font>
      <b/>
      <sz val="12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5D7FF"/>
        <bgColor indexed="64"/>
      </patternFill>
    </fill>
  </fills>
  <borders count="28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slantDashDot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Dashed">
        <color indexed="8"/>
      </bottom>
      <diagonal/>
    </border>
    <border>
      <left/>
      <right/>
      <top/>
      <bottom style="mediumDashed">
        <color indexed="8"/>
      </bottom>
      <diagonal/>
    </border>
    <border>
      <left/>
      <right style="medium">
        <color indexed="8"/>
      </right>
      <top/>
      <bottom style="mediumDashed">
        <color indexed="8"/>
      </bottom>
      <diagonal/>
    </border>
    <border>
      <left style="medium">
        <color indexed="8"/>
      </left>
      <right/>
      <top style="mediumDashed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1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1" fontId="1" fillId="0" borderId="8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4" fillId="0" borderId="11" xfId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14" xfId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4" fillId="0" borderId="17" xfId="1" applyFont="1" applyFill="1" applyBorder="1" applyAlignment="1" applyProtection="1">
      <alignment vertical="center"/>
    </xf>
    <xf numFmtId="0" fontId="4" fillId="0" borderId="18" xfId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21" xfId="1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1" fillId="0" borderId="25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6" fontId="1" fillId="0" borderId="0" xfId="0" applyNumberFormat="1" applyFont="1" applyBorder="1" applyAlignment="1" applyProtection="1">
      <alignment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1" fillId="0" borderId="23" xfId="0" applyNumberFormat="1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/>
    </xf>
    <xf numFmtId="0" fontId="4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6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pformular"/>
      <sheetName val="Ergebniss"/>
      <sheetName val="Rangliste"/>
      <sheetName val="WM-Tipps"/>
      <sheetName val="Test1"/>
      <sheetName val="Test2"/>
    </sheetNames>
    <sheetDataSet>
      <sheetData sheetId="0"/>
      <sheetData sheetId="1">
        <row r="2">
          <cell r="G2"/>
          <cell r="I2"/>
        </row>
        <row r="3">
          <cell r="G3"/>
          <cell r="I3"/>
          <cell r="AH3" t="str">
            <v>Sieger Gruppe C</v>
          </cell>
          <cell r="AJ3" t="str">
            <v>Zweiter Gruppe D</v>
          </cell>
        </row>
        <row r="4">
          <cell r="G4"/>
          <cell r="I4"/>
        </row>
        <row r="5">
          <cell r="G5"/>
          <cell r="I5"/>
        </row>
        <row r="6">
          <cell r="G6"/>
          <cell r="I6"/>
        </row>
        <row r="7">
          <cell r="G7"/>
          <cell r="I7"/>
          <cell r="AT7" t="str">
            <v>Sieger 1. Achtelfinale</v>
          </cell>
          <cell r="AV7" t="str">
            <v>Sieger 2. Achtelfinale</v>
          </cell>
        </row>
        <row r="11">
          <cell r="G11"/>
          <cell r="I11"/>
        </row>
        <row r="12">
          <cell r="G12"/>
          <cell r="I12"/>
          <cell r="AH12" t="str">
            <v>Sieger Gruppe A</v>
          </cell>
          <cell r="AJ12" t="str">
            <v>Zweiter Gruppe B</v>
          </cell>
        </row>
        <row r="13">
          <cell r="G13"/>
          <cell r="I13"/>
        </row>
        <row r="14">
          <cell r="G14"/>
          <cell r="I14"/>
        </row>
        <row r="15">
          <cell r="G15"/>
          <cell r="I15"/>
          <cell r="AT15" t="str">
            <v>Sieger 5. Achtelfinale</v>
          </cell>
          <cell r="AV15" t="str">
            <v>Sieger 6. Achtelfinale</v>
          </cell>
        </row>
        <row r="16">
          <cell r="G16"/>
          <cell r="I16"/>
        </row>
        <row r="20">
          <cell r="G20"/>
          <cell r="I20"/>
        </row>
        <row r="21">
          <cell r="G21"/>
          <cell r="I21"/>
          <cell r="AH21" t="str">
            <v>Sieger Gruppe B</v>
          </cell>
          <cell r="AJ21" t="str">
            <v>Zweiter Gruppe A</v>
          </cell>
        </row>
        <row r="22">
          <cell r="G22"/>
          <cell r="I22"/>
        </row>
        <row r="23">
          <cell r="G23"/>
          <cell r="I23"/>
          <cell r="AT23" t="str">
            <v>Sieger 7. Achtelfinale</v>
          </cell>
          <cell r="AV23" t="str">
            <v>Sieger 8. Achtelfinale</v>
          </cell>
        </row>
        <row r="24">
          <cell r="G24"/>
          <cell r="I24"/>
        </row>
        <row r="25">
          <cell r="G25"/>
          <cell r="I25"/>
        </row>
        <row r="29">
          <cell r="G29"/>
          <cell r="I29"/>
        </row>
        <row r="30">
          <cell r="G30"/>
          <cell r="I30"/>
          <cell r="AH30" t="str">
            <v>Sieger Gruppe D</v>
          </cell>
          <cell r="AJ30" t="str">
            <v>Zweiter Gruppe C</v>
          </cell>
        </row>
        <row r="31">
          <cell r="G31"/>
          <cell r="I31"/>
          <cell r="AT31" t="str">
            <v>Sieger 3. Achtelfinale</v>
          </cell>
          <cell r="AV31" t="str">
            <v>Sieger 4. Achtelfinale</v>
          </cell>
        </row>
        <row r="32">
          <cell r="G32"/>
          <cell r="I32"/>
        </row>
        <row r="33">
          <cell r="G33"/>
          <cell r="I33"/>
        </row>
        <row r="34">
          <cell r="G34"/>
          <cell r="I34"/>
        </row>
        <row r="39">
          <cell r="G39"/>
          <cell r="I39"/>
        </row>
        <row r="40">
          <cell r="G40"/>
          <cell r="I40"/>
          <cell r="AH40" t="str">
            <v>Sieger Gruppe E</v>
          </cell>
          <cell r="AJ40" t="str">
            <v>Zweiter Gruppe F</v>
          </cell>
          <cell r="AT40" t="str">
            <v>Sieger 1. Achtelfinale</v>
          </cell>
          <cell r="AV40" t="str">
            <v>Sieger 5. Achtelfinale</v>
          </cell>
        </row>
        <row r="41">
          <cell r="G41"/>
          <cell r="I41"/>
        </row>
        <row r="42">
          <cell r="G42"/>
          <cell r="I42"/>
        </row>
        <row r="43">
          <cell r="G43"/>
          <cell r="I43"/>
        </row>
        <row r="44">
          <cell r="G44"/>
          <cell r="I44"/>
        </row>
        <row r="48">
          <cell r="G48"/>
          <cell r="I48"/>
        </row>
        <row r="49">
          <cell r="G49"/>
          <cell r="I49"/>
          <cell r="AH49" t="str">
            <v>Sieger Gruppe G</v>
          </cell>
          <cell r="AJ49" t="str">
            <v>Zweiter Gruppe H</v>
          </cell>
          <cell r="AT49" t="str">
            <v>Sieger 7. Achtelfinale</v>
          </cell>
          <cell r="AV49" t="str">
            <v>Sieger 3. Achtelfinale</v>
          </cell>
        </row>
        <row r="50">
          <cell r="G50"/>
          <cell r="I50"/>
        </row>
        <row r="51">
          <cell r="G51"/>
          <cell r="I51"/>
        </row>
        <row r="52">
          <cell r="G52"/>
          <cell r="I52"/>
        </row>
        <row r="53">
          <cell r="G53"/>
          <cell r="I53"/>
        </row>
        <row r="58">
          <cell r="G58"/>
          <cell r="I58"/>
        </row>
        <row r="59">
          <cell r="G59"/>
          <cell r="I59"/>
          <cell r="AH59" t="str">
            <v>Sieger Gruppe F</v>
          </cell>
          <cell r="AJ59" t="str">
            <v>Zweiter Gruppe E</v>
          </cell>
        </row>
        <row r="60">
          <cell r="G60"/>
          <cell r="I60"/>
        </row>
        <row r="61">
          <cell r="G61"/>
          <cell r="I61"/>
          <cell r="AT61" t="str">
            <v>Sieger 1. Achtelfinale</v>
          </cell>
          <cell r="AV61" t="str">
            <v>Sieger 7. Achtelfinale</v>
          </cell>
        </row>
        <row r="62">
          <cell r="G62"/>
          <cell r="I62"/>
        </row>
        <row r="63">
          <cell r="G63"/>
          <cell r="I63"/>
        </row>
        <row r="67">
          <cell r="G67"/>
          <cell r="I67"/>
        </row>
        <row r="68">
          <cell r="G68"/>
          <cell r="I68"/>
          <cell r="AH68" t="str">
            <v>Sieger Gruppe H</v>
          </cell>
          <cell r="AJ68" t="str">
            <v>Zweiter Gruppe G</v>
          </cell>
        </row>
        <row r="69">
          <cell r="G69"/>
          <cell r="I69"/>
        </row>
        <row r="70">
          <cell r="G70"/>
          <cell r="I70"/>
        </row>
        <row r="71">
          <cell r="G71"/>
          <cell r="I71"/>
        </row>
        <row r="72">
          <cell r="G72"/>
          <cell r="I72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0"/>
  <sheetViews>
    <sheetView tabSelected="1" topLeftCell="A2" zoomScaleNormal="100" workbookViewId="0">
      <selection activeCell="J2" sqref="J2"/>
    </sheetView>
  </sheetViews>
  <sheetFormatPr baseColWidth="10" defaultRowHeight="12.75" x14ac:dyDescent="0.2"/>
  <cols>
    <col min="1" max="1" width="0.6640625" style="8" customWidth="1"/>
    <col min="2" max="2" width="4.44140625" style="8" customWidth="1"/>
    <col min="3" max="3" width="15.109375" style="8" bestFit="1" customWidth="1"/>
    <col min="4" max="4" width="1.77734375" style="10" customWidth="1"/>
    <col min="5" max="5" width="15.109375" style="8" bestFit="1" customWidth="1"/>
    <col min="6" max="6" width="2.33203125" style="10" hidden="1" customWidth="1"/>
    <col min="7" max="7" width="1.6640625" style="10" hidden="1" customWidth="1"/>
    <col min="8" max="8" width="2.33203125" style="10" hidden="1" customWidth="1"/>
    <col min="9" max="9" width="1.6640625" style="10" hidden="1" customWidth="1"/>
    <col min="10" max="12" width="2.109375" style="10" customWidth="1"/>
    <col min="13" max="13" width="6.33203125" style="10" hidden="1" customWidth="1"/>
    <col min="14" max="14" width="0.6640625" style="8" customWidth="1"/>
    <col min="15" max="15" width="5.6640625" style="8" hidden="1" customWidth="1"/>
    <col min="16" max="16" width="7.88671875" style="8" hidden="1" customWidth="1"/>
    <col min="17" max="17" width="1.44140625" style="8" hidden="1" customWidth="1"/>
    <col min="18" max="18" width="7.88671875" style="8" hidden="1" customWidth="1"/>
    <col min="19" max="19" width="1.44140625" style="8" hidden="1" customWidth="1"/>
    <col min="20" max="20" width="7.44140625" style="7" hidden="1" customWidth="1"/>
    <col min="21" max="21" width="1.44140625" style="8" hidden="1" customWidth="1"/>
    <col min="22" max="22" width="7.44140625" style="8" hidden="1" customWidth="1"/>
    <col min="23" max="23" width="1.44140625" style="8" hidden="1" customWidth="1"/>
    <col min="24" max="24" width="10.88671875" style="8" hidden="1" customWidth="1"/>
    <col min="25" max="25" width="10.33203125" style="8" hidden="1" customWidth="1"/>
    <col min="26" max="26" width="2.109375" style="8" hidden="1" customWidth="1"/>
    <col min="27" max="27" width="1" style="8" hidden="1" customWidth="1"/>
    <col min="28" max="28" width="2.44140625" style="8" customWidth="1"/>
    <col min="29" max="29" width="16.109375" style="48" bestFit="1" customWidth="1"/>
    <col min="30" max="32" width="1.88671875" style="48" bestFit="1" customWidth="1"/>
    <col min="33" max="33" width="4.5546875" style="48" bestFit="1" customWidth="1"/>
    <col min="34" max="34" width="6.33203125" style="48" customWidth="1"/>
    <col min="35" max="35" width="2.44140625" style="48" customWidth="1"/>
    <col min="36" max="37" width="2.5546875" style="8" customWidth="1"/>
    <col min="38" max="38" width="15.109375" style="8" customWidth="1"/>
    <col min="39" max="39" width="1.77734375" style="8" customWidth="1"/>
    <col min="40" max="40" width="15.109375" style="8" customWidth="1"/>
    <col min="41" max="41" width="1.33203125" style="8" customWidth="1"/>
    <col min="42" max="42" width="2.109375" style="10" customWidth="1"/>
    <col min="43" max="43" width="1.6640625" style="10" bestFit="1" customWidth="1"/>
    <col min="44" max="44" width="2.109375" style="10" customWidth="1"/>
    <col min="45" max="45" width="1.6640625" style="10" hidden="1" customWidth="1"/>
    <col min="46" max="46" width="2.77734375" style="10" hidden="1" customWidth="1"/>
    <col min="47" max="47" width="0.6640625" style="8" customWidth="1"/>
    <col min="48" max="48" width="2.109375" style="8" customWidth="1"/>
    <col min="49" max="49" width="0.6640625" style="8" customWidth="1"/>
    <col min="50" max="51" width="2.5546875" style="8" customWidth="1"/>
    <col min="52" max="52" width="16.109375" style="37" customWidth="1"/>
    <col min="53" max="53" width="1.77734375" style="8" customWidth="1"/>
    <col min="54" max="54" width="16.109375" style="8" customWidth="1"/>
    <col min="55" max="55" width="1.21875" style="8" customWidth="1"/>
    <col min="56" max="56" width="2.109375" style="10" customWidth="1"/>
    <col min="57" max="57" width="1.6640625" style="10" bestFit="1" customWidth="1"/>
    <col min="58" max="58" width="2.109375" style="10" customWidth="1"/>
    <col min="59" max="59" width="1.6640625" style="10" hidden="1" customWidth="1"/>
    <col min="60" max="60" width="2.77734375" style="10" hidden="1" customWidth="1"/>
    <col min="61" max="61" width="0.6640625" style="8" customWidth="1"/>
    <col min="62" max="62" width="1.6640625" style="8" customWidth="1"/>
    <col min="63" max="67" width="6.33203125" style="48" hidden="1" customWidth="1"/>
    <col min="68" max="68" width="6.6640625" style="50" hidden="1" customWidth="1"/>
    <col min="69" max="69" width="4.33203125" style="50" hidden="1" customWidth="1"/>
    <col min="70" max="70" width="16.109375" style="50" hidden="1" customWidth="1"/>
    <col min="71" max="71" width="4" style="50" hidden="1" customWidth="1"/>
    <col min="72" max="72" width="4.88671875" style="50" hidden="1" customWidth="1"/>
    <col min="73" max="73" width="5.88671875" style="50" hidden="1" customWidth="1"/>
    <col min="74" max="74" width="4" style="50" hidden="1" customWidth="1"/>
    <col min="75" max="75" width="8.21875" style="50" hidden="1" customWidth="1"/>
    <col min="76" max="76" width="5.77734375" style="50" hidden="1" customWidth="1"/>
    <col min="77" max="77" width="6.77734375" style="50" hidden="1" customWidth="1"/>
    <col min="78" max="78" width="4.5546875" style="50" hidden="1" customWidth="1"/>
    <col min="79" max="79" width="13.21875" style="50" hidden="1" customWidth="1"/>
    <col min="80" max="80" width="9" style="8" hidden="1" customWidth="1"/>
    <col min="81" max="81" width="10.44140625" style="8" hidden="1" customWidth="1"/>
    <col min="82" max="82" width="8.88671875" style="8" hidden="1" customWidth="1"/>
    <col min="83" max="83" width="8.88671875" style="8" customWidth="1"/>
    <col min="84" max="16384" width="11.5546875" style="8"/>
  </cols>
  <sheetData>
    <row r="1" spans="1:81" ht="13.5" customHeight="1" thickBot="1" x14ac:dyDescent="0.25">
      <c r="A1" s="1"/>
      <c r="B1" s="2" t="s">
        <v>0</v>
      </c>
      <c r="C1" s="3"/>
      <c r="D1" s="4"/>
      <c r="E1" s="3"/>
      <c r="F1" s="102" t="s">
        <v>1</v>
      </c>
      <c r="G1" s="102"/>
      <c r="H1" s="102"/>
      <c r="I1" s="5"/>
      <c r="J1" s="92"/>
      <c r="K1" s="92"/>
      <c r="L1" s="92"/>
      <c r="M1" s="5" t="s">
        <v>2</v>
      </c>
      <c r="N1" s="6"/>
      <c r="O1" s="7"/>
      <c r="AC1" s="115" t="s">
        <v>0</v>
      </c>
      <c r="AD1" s="113" t="s">
        <v>3</v>
      </c>
      <c r="AE1" s="113" t="s">
        <v>4</v>
      </c>
      <c r="AF1" s="113" t="s">
        <v>5</v>
      </c>
      <c r="AG1" s="113" t="s">
        <v>6</v>
      </c>
      <c r="AH1" s="114" t="s">
        <v>2</v>
      </c>
      <c r="AI1" s="9"/>
      <c r="AZ1" s="8"/>
      <c r="BA1" s="7"/>
      <c r="BE1" s="8"/>
      <c r="BG1" s="8"/>
      <c r="BH1" s="11"/>
      <c r="BI1" s="7"/>
      <c r="BJ1" s="11"/>
      <c r="BK1" s="9"/>
      <c r="BL1" s="9"/>
      <c r="BM1" s="9"/>
      <c r="BN1" s="9"/>
      <c r="BO1" s="9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81" ht="13.5" customHeight="1" thickBot="1" x14ac:dyDescent="0.3">
      <c r="A2" s="13"/>
      <c r="B2" s="7" t="s">
        <v>7</v>
      </c>
      <c r="C2" s="7" t="s">
        <v>8</v>
      </c>
      <c r="D2" s="11" t="s">
        <v>9</v>
      </c>
      <c r="E2" s="7" t="s">
        <v>10</v>
      </c>
      <c r="F2" s="14">
        <f>[1]Ergebniss!G2</f>
        <v>0</v>
      </c>
      <c r="G2" s="15" t="s">
        <v>11</v>
      </c>
      <c r="H2" s="14">
        <f>[1]Ergebniss!I2</f>
        <v>0</v>
      </c>
      <c r="I2" s="11"/>
      <c r="J2" s="87"/>
      <c r="K2" s="15" t="s">
        <v>11</v>
      </c>
      <c r="L2" s="87"/>
      <c r="M2" s="16" t="str">
        <f>IF(OR(ISBLANK([1]Ergebniss!I2)),"",
IF(AND(L2=$H2,$F2=J2),3,IF(L2-J2=$H2-$F2,2,
IF(OR(AND($F2&lt;$H2,J2&lt;L2),AND($F2&gt;$H2,J2&gt;L2)),1,0))))</f>
        <v/>
      </c>
      <c r="N2" s="17"/>
      <c r="O2" s="7"/>
      <c r="P2" s="18" t="str">
        <f t="shared" ref="P2:P7" si="0">C2</f>
        <v>Russland</v>
      </c>
      <c r="Q2" s="18">
        <f t="shared" ref="Q2:Q7" si="1">J2</f>
        <v>0</v>
      </c>
      <c r="R2" s="18" t="str">
        <f t="shared" ref="R2:R7" si="2">C2</f>
        <v>Russland</v>
      </c>
      <c r="S2" s="18">
        <f t="shared" ref="S2:S7" si="3">L2</f>
        <v>0</v>
      </c>
      <c r="T2" s="18" t="str">
        <f t="shared" ref="T2:T7" si="4">E2</f>
        <v>Saudi Arabien</v>
      </c>
      <c r="U2" s="19">
        <f t="shared" ref="U2:U7" si="5">L2</f>
        <v>0</v>
      </c>
      <c r="V2" s="19" t="str">
        <f t="shared" ref="V2:V7" si="6">E2</f>
        <v>Saudi Arabien</v>
      </c>
      <c r="W2" s="19">
        <f t="shared" ref="W2:W7" si="7">J2</f>
        <v>0</v>
      </c>
      <c r="X2" s="19" t="str">
        <f t="shared" ref="X2:X7" si="8">IF(J2="","",IF(L2="","",IF(J2&gt;L2,CONCATENATE(C2,"_win"),IF(J2&lt;L2,CONCATENATE(C2,"_lose"),CONCATENATE(C2,"_draw")))))</f>
        <v/>
      </c>
      <c r="Y2" s="19" t="str">
        <f t="shared" ref="Y2:Y7" si="9">IF(J2="","",IF(L2="","",IF(J2&gt;L2,CONCATENATE(E2,"_lose"),IF(J2&lt;L2,CONCATENATE(E2,"_win"),CONCATENATE(E2,"_draw")))))</f>
        <v/>
      </c>
      <c r="Z2" s="19"/>
      <c r="AC2" s="115"/>
      <c r="AD2" s="113"/>
      <c r="AE2" s="113"/>
      <c r="AF2" s="113"/>
      <c r="AG2" s="113"/>
      <c r="AH2" s="114"/>
      <c r="AI2" s="9"/>
      <c r="AJ2" s="90" t="s">
        <v>12</v>
      </c>
      <c r="AK2" s="91"/>
      <c r="AL2" s="91"/>
      <c r="AM2" s="91"/>
      <c r="AN2" s="91"/>
      <c r="AO2" s="2"/>
      <c r="AP2" s="92"/>
      <c r="AQ2" s="92"/>
      <c r="AR2" s="92"/>
      <c r="AS2" s="2"/>
      <c r="AT2" s="20" t="s">
        <v>13</v>
      </c>
      <c r="AU2" s="21"/>
      <c r="AV2" s="11"/>
      <c r="AZ2" s="116" t="s">
        <v>14</v>
      </c>
      <c r="BA2" s="117"/>
      <c r="BB2" s="117"/>
      <c r="BC2" s="117"/>
      <c r="BD2" s="117"/>
      <c r="BE2" s="117"/>
      <c r="BF2" s="117"/>
      <c r="BG2" s="8"/>
      <c r="BH2" s="11"/>
      <c r="BI2" s="7"/>
      <c r="BJ2" s="7"/>
      <c r="BK2" s="9"/>
      <c r="BL2" s="9"/>
      <c r="BM2" s="9"/>
      <c r="BN2" s="9"/>
      <c r="BO2" s="9"/>
      <c r="BP2" s="12"/>
      <c r="BQ2" s="22" t="s">
        <v>15</v>
      </c>
      <c r="BR2" s="22" t="s">
        <v>0</v>
      </c>
      <c r="BS2" s="22" t="s">
        <v>16</v>
      </c>
      <c r="BT2" s="22" t="s">
        <v>17</v>
      </c>
      <c r="BU2" s="22" t="s">
        <v>18</v>
      </c>
      <c r="BV2" s="22" t="s">
        <v>6</v>
      </c>
      <c r="BW2" s="22" t="s">
        <v>19</v>
      </c>
      <c r="BX2" s="22" t="s">
        <v>2</v>
      </c>
      <c r="BY2" s="22" t="s">
        <v>20</v>
      </c>
      <c r="BZ2" s="12"/>
      <c r="CA2" s="12"/>
      <c r="CB2" s="8" t="s">
        <v>21</v>
      </c>
    </row>
    <row r="3" spans="1:81" ht="13.5" customHeight="1" x14ac:dyDescent="0.25">
      <c r="A3" s="13"/>
      <c r="B3" s="7" t="s">
        <v>22</v>
      </c>
      <c r="C3" s="7" t="s">
        <v>23</v>
      </c>
      <c r="D3" s="11" t="s">
        <v>9</v>
      </c>
      <c r="E3" s="7" t="s">
        <v>24</v>
      </c>
      <c r="F3" s="14">
        <f>[1]Ergebniss!G3</f>
        <v>0</v>
      </c>
      <c r="G3" s="15" t="s">
        <v>11</v>
      </c>
      <c r="H3" s="14">
        <f>[1]Ergebniss!I3</f>
        <v>0</v>
      </c>
      <c r="I3" s="11"/>
      <c r="J3" s="88"/>
      <c r="K3" s="15" t="s">
        <v>11</v>
      </c>
      <c r="L3" s="88"/>
      <c r="M3" s="16" t="str">
        <f>IF(OR(ISBLANK([1]Ergebniss!I3)),"",
IF(AND(L3=$H3,$F3=J3),3,IF(L3-J3=$H3-$F3,2,
IF(OR(AND($F3&lt;$H3,J3&lt;L3),AND($F3&gt;$H3,J3&gt;L3)),1,0))))</f>
        <v/>
      </c>
      <c r="N3" s="17"/>
      <c r="O3" s="7"/>
      <c r="P3" s="18" t="str">
        <f t="shared" si="0"/>
        <v>Ägypten</v>
      </c>
      <c r="Q3" s="18">
        <f t="shared" si="1"/>
        <v>0</v>
      </c>
      <c r="R3" s="18" t="str">
        <f t="shared" si="2"/>
        <v>Ägypten</v>
      </c>
      <c r="S3" s="18">
        <f t="shared" si="3"/>
        <v>0</v>
      </c>
      <c r="T3" s="18" t="str">
        <f t="shared" si="4"/>
        <v>Uruguay</v>
      </c>
      <c r="U3" s="19">
        <f t="shared" si="5"/>
        <v>0</v>
      </c>
      <c r="V3" s="19" t="str">
        <f t="shared" si="6"/>
        <v>Uruguay</v>
      </c>
      <c r="W3" s="19">
        <f t="shared" si="7"/>
        <v>0</v>
      </c>
      <c r="X3" s="19" t="str">
        <f t="shared" si="8"/>
        <v/>
      </c>
      <c r="Y3" s="19" t="str">
        <f t="shared" si="9"/>
        <v/>
      </c>
      <c r="Z3" s="19"/>
      <c r="AC3" s="23" t="str">
        <f>VLOOKUP(4,BQ3:BX6,2,FALSE)</f>
        <v>Ägypten</v>
      </c>
      <c r="AD3" s="24">
        <f>VLOOKUP(4,BQ3:BX6,3,FALSE)</f>
        <v>0</v>
      </c>
      <c r="AE3" s="24">
        <f>VLOOKUP(4,BQ3:BX6,4,FALSE)</f>
        <v>0</v>
      </c>
      <c r="AF3" s="24">
        <f>VLOOKUP(4,BQ3:BX6,5,FALSE)</f>
        <v>0</v>
      </c>
      <c r="AG3" s="24" t="str">
        <f>CONCATENATE(VLOOKUP(4,BQ3:BX6,6,FALSE)," - ",VLOOKUP(4,BQ3:BX6,7,FALSE))</f>
        <v>0 - 0</v>
      </c>
      <c r="AH3" s="25">
        <f>VLOOKUP(4,BQ3:BX6,8,FALSE)</f>
        <v>0</v>
      </c>
      <c r="AI3" s="26"/>
      <c r="AJ3" s="95" t="s">
        <v>25</v>
      </c>
      <c r="AK3" s="96"/>
      <c r="AL3" s="27" t="str">
        <f>CA22</f>
        <v>Sieger Gruppe C</v>
      </c>
      <c r="AM3" s="7" t="s">
        <v>9</v>
      </c>
      <c r="AN3" s="27" t="str">
        <f>CA32</f>
        <v>Zweiter Gruppe D</v>
      </c>
      <c r="AO3" s="7"/>
      <c r="AP3" s="87"/>
      <c r="AQ3" s="15" t="s">
        <v>11</v>
      </c>
      <c r="AR3" s="87"/>
      <c r="AS3" s="11"/>
      <c r="AT3" s="29"/>
      <c r="AU3" s="30"/>
      <c r="AV3" s="7"/>
      <c r="AZ3" s="116"/>
      <c r="BA3" s="118"/>
      <c r="BB3" s="118"/>
      <c r="BC3" s="118"/>
      <c r="BD3" s="118"/>
      <c r="BE3" s="118"/>
      <c r="BF3" s="118"/>
      <c r="BG3" s="7"/>
      <c r="BH3" s="11"/>
      <c r="BI3" s="7"/>
      <c r="BJ3" s="7"/>
      <c r="BK3" s="26"/>
      <c r="BL3" s="26"/>
      <c r="BM3" s="26"/>
      <c r="BN3" s="26"/>
      <c r="BO3" s="26"/>
      <c r="BP3" s="12"/>
      <c r="BQ3" s="22">
        <f>IF(BY3&gt;BY3,1,0)+IF(BY3&gt;BY4,1,0)+IF(BY3&gt;BY5,1,0)+IF(BY3&gt;BY6,1,0)+1</f>
        <v>4</v>
      </c>
      <c r="BR3" s="31" t="s">
        <v>23</v>
      </c>
      <c r="BS3" s="32">
        <f>COUNTIF($X$2:$Z$7,CONCATENATE(BR3,"_win"))</f>
        <v>0</v>
      </c>
      <c r="BT3" s="32">
        <f>COUNTIF($X$2:$Z$7,CONCATENATE(BR3,"_draw"))</f>
        <v>0</v>
      </c>
      <c r="BU3" s="32">
        <f>COUNTIF($X$2:$Z$7,CONCATENATE(BR3,"_lose"))</f>
        <v>0</v>
      </c>
      <c r="BV3" s="32">
        <f>SUMIF($T$2:$T$7,CONCATENATE("=",BR3),$U$2:$U$7)+SUMIF($P$2:$P$7,CONCATENATE("=",BR3),$Q$2:$Q$7)</f>
        <v>0</v>
      </c>
      <c r="BW3" s="32">
        <f>SUMIF($V$2:$V$7,CONCATENATE("=",BR3),$W$2:$W$7)+SUMIF($R$2:$R$7,CONCATENATE("=",BR3),$S$2:$S$7)</f>
        <v>0</v>
      </c>
      <c r="BX3" s="32">
        <f>BS3*3+BT3</f>
        <v>0</v>
      </c>
      <c r="BY3" s="32">
        <f>0.4+BV3+(BV3-BW3)*100+BS3*1000+BX3*10000</f>
        <v>0.4</v>
      </c>
      <c r="BZ3" s="12"/>
      <c r="CA3" s="31" t="str">
        <f>IF(SUM(BS3:BU6)=12,AC3,"Sieger Gruppe A")</f>
        <v>Sieger Gruppe A</v>
      </c>
      <c r="CB3" s="33" t="str">
        <f>IF(AP3="","",IF(AP3="","",IF(AP3&gt;AR3,AL3,IF(AP3&lt;AR3,AN3,""))))</f>
        <v/>
      </c>
      <c r="CC3" s="8" t="str">
        <f>IF(CB3="","Sieger 1. Achtelfinale",CB3)</f>
        <v>Sieger 1. Achtelfinale</v>
      </c>
    </row>
    <row r="4" spans="1:81" ht="13.5" customHeight="1" thickBot="1" x14ac:dyDescent="0.3">
      <c r="A4" s="13"/>
      <c r="B4" s="7" t="s">
        <v>26</v>
      </c>
      <c r="C4" s="7" t="s">
        <v>8</v>
      </c>
      <c r="D4" s="11" t="s">
        <v>9</v>
      </c>
      <c r="E4" s="7" t="s">
        <v>23</v>
      </c>
      <c r="F4" s="14">
        <f>[1]Ergebniss!G4</f>
        <v>0</v>
      </c>
      <c r="G4" s="15" t="s">
        <v>11</v>
      </c>
      <c r="H4" s="14">
        <f>[1]Ergebniss!I4</f>
        <v>0</v>
      </c>
      <c r="I4" s="11"/>
      <c r="J4" s="87"/>
      <c r="K4" s="15" t="s">
        <v>11</v>
      </c>
      <c r="L4" s="88"/>
      <c r="M4" s="16" t="str">
        <f>IF(OR(ISBLANK([1]Ergebniss!I4)),"",
IF(AND(L4=$H4,$F4=J4),3,IF(L4-J4=$H4-$F4,2,
IF(OR(AND($F4&lt;$H4,J4&lt;L4),AND($F4&gt;$H4,J4&gt;L4)),1,0))))</f>
        <v/>
      </c>
      <c r="N4" s="17"/>
      <c r="O4" s="7"/>
      <c r="P4" s="18" t="str">
        <f t="shared" si="0"/>
        <v>Russland</v>
      </c>
      <c r="Q4" s="18">
        <f t="shared" si="1"/>
        <v>0</v>
      </c>
      <c r="R4" s="18" t="str">
        <f t="shared" si="2"/>
        <v>Russland</v>
      </c>
      <c r="S4" s="18">
        <f t="shared" si="3"/>
        <v>0</v>
      </c>
      <c r="T4" s="18" t="str">
        <f t="shared" si="4"/>
        <v>Ägypten</v>
      </c>
      <c r="U4" s="19">
        <f t="shared" si="5"/>
        <v>0</v>
      </c>
      <c r="V4" s="19" t="str">
        <f t="shared" si="6"/>
        <v>Ägypten</v>
      </c>
      <c r="W4" s="19">
        <f t="shared" si="7"/>
        <v>0</v>
      </c>
      <c r="X4" s="19" t="str">
        <f t="shared" si="8"/>
        <v/>
      </c>
      <c r="Y4" s="19" t="str">
        <f t="shared" si="9"/>
        <v/>
      </c>
      <c r="Z4" s="19"/>
      <c r="AC4" s="34" t="str">
        <f>VLOOKUP(3,BQ3:BX6,2,FALSE)</f>
        <v>Russland</v>
      </c>
      <c r="AD4" s="35">
        <f>VLOOKUP(3,BQ3:BX6,3,FALSE)</f>
        <v>0</v>
      </c>
      <c r="AE4" s="35">
        <f>VLOOKUP(3,BQ3:BX6,4,FALSE)</f>
        <v>0</v>
      </c>
      <c r="AF4" s="35">
        <f>VLOOKUP(3,BQ3:BX6,5,FALSE)</f>
        <v>0</v>
      </c>
      <c r="AG4" s="35" t="str">
        <f>CONCATENATE(VLOOKUP(3,BQ3:BX6,6,FALSE)," - ",VLOOKUP(3,BQ3:BX6,7,FALSE))</f>
        <v>0 - 0</v>
      </c>
      <c r="AH4" s="36">
        <f>VLOOKUP(3,BQ3:BX6,8,FALSE)</f>
        <v>0</v>
      </c>
      <c r="AI4" s="26"/>
      <c r="AJ4" s="13"/>
      <c r="AK4" s="7"/>
      <c r="AL4" s="7"/>
      <c r="AM4" s="7"/>
      <c r="AN4" s="7"/>
      <c r="AO4" s="7"/>
      <c r="AP4" s="11"/>
      <c r="AQ4" s="11"/>
      <c r="AR4" s="11"/>
      <c r="AS4" s="11"/>
      <c r="AT4" s="11"/>
      <c r="AU4" s="17"/>
      <c r="AV4" s="7"/>
      <c r="BA4" s="7"/>
      <c r="BE4" s="8"/>
      <c r="BG4" s="8"/>
      <c r="BJ4" s="7"/>
      <c r="BK4" s="26"/>
      <c r="BL4" s="26"/>
      <c r="BM4" s="26"/>
      <c r="BN4" s="26"/>
      <c r="BO4" s="26"/>
      <c r="BP4" s="12"/>
      <c r="BQ4" s="22">
        <f>IF(BY4&gt;BY3,1,0)+IF(BY4&gt;BY4,1,0)+IF(BY4&gt;BY5,1,0)+IF(BY4&gt;BY6,1,0)+1</f>
        <v>3</v>
      </c>
      <c r="BR4" s="31" t="s">
        <v>8</v>
      </c>
      <c r="BS4" s="32">
        <f>COUNTIF($X$2:$Z$7,CONCATENATE(BR4,"_win"))</f>
        <v>0</v>
      </c>
      <c r="BT4" s="32">
        <f>COUNTIF($X$2:$Z$7,CONCATENATE(BR4,"_draw"))</f>
        <v>0</v>
      </c>
      <c r="BU4" s="32">
        <f>COUNTIF($X$2:$Z$7,CONCATENATE(BR4,"_lose"))</f>
        <v>0</v>
      </c>
      <c r="BV4" s="32">
        <f>SUMIF($T$2:$T$7,CONCATENATE("=",BR4),$U$2:$U$7)+SUMIF($P$2:$P$7,CONCATENATE("=",BR4),$Q$2:$Q$7)</f>
        <v>0</v>
      </c>
      <c r="BW4" s="32">
        <f>SUMIF($V$2:$V$7,CONCATENATE("=",BR4),$W$2:$W$7)+SUMIF($R$2:$R$7,CONCATENATE("=",BR4),$S$2:$S$7)</f>
        <v>0</v>
      </c>
      <c r="BX4" s="32">
        <f>BS4*3+BT4</f>
        <v>0</v>
      </c>
      <c r="BY4" s="32">
        <f>0.3+BV4+(BV4-BW4)*100+BS4*1000+BX4*10000</f>
        <v>0.3</v>
      </c>
      <c r="BZ4" s="12"/>
      <c r="CA4" s="31" t="str">
        <f>IF(SUM(BS3:BU6)=12,AC4,"Zweiter Gruppe A")</f>
        <v>Zweiter Gruppe A</v>
      </c>
      <c r="CB4" s="7" t="str">
        <f>IF(AP12="","",IF(AP12="","",IF(AP12&gt;AR12,AL12,IF(AP12&lt;AR12,AN12,""))))</f>
        <v/>
      </c>
      <c r="CC4" s="7" t="str">
        <f>IF(CB4="","Sieger 2. Achtelfinale",CB4)</f>
        <v>Sieger 2. Achtelfinale</v>
      </c>
    </row>
    <row r="5" spans="1:81" ht="13.5" customHeight="1" thickBot="1" x14ac:dyDescent="0.3">
      <c r="A5" s="13"/>
      <c r="B5" s="7" t="s">
        <v>27</v>
      </c>
      <c r="C5" s="7" t="s">
        <v>24</v>
      </c>
      <c r="D5" s="11" t="s">
        <v>9</v>
      </c>
      <c r="E5" s="7" t="s">
        <v>10</v>
      </c>
      <c r="F5" s="14">
        <f>[1]Ergebniss!G5</f>
        <v>0</v>
      </c>
      <c r="G5" s="15" t="s">
        <v>11</v>
      </c>
      <c r="H5" s="14">
        <f>[1]Ergebniss!I5</f>
        <v>0</v>
      </c>
      <c r="I5" s="11"/>
      <c r="J5" s="88"/>
      <c r="K5" s="15" t="s">
        <v>11</v>
      </c>
      <c r="L5" s="88"/>
      <c r="M5" s="16" t="str">
        <f>IF(OR(ISBLANK([1]Ergebniss!I5)),"",
IF(AND(L5=$H5,$F5=J5),3,IF(L5-J5=$H5-$F5,2,
IF(OR(AND($F5&lt;$H5,J5&lt;L5),AND($F5&gt;$H5,J5&gt;L5)),1,0))))</f>
        <v/>
      </c>
      <c r="N5" s="17"/>
      <c r="O5" s="7"/>
      <c r="P5" s="18" t="str">
        <f t="shared" si="0"/>
        <v>Uruguay</v>
      </c>
      <c r="Q5" s="18">
        <f t="shared" si="1"/>
        <v>0</v>
      </c>
      <c r="R5" s="18" t="str">
        <f t="shared" si="2"/>
        <v>Uruguay</v>
      </c>
      <c r="S5" s="18">
        <f t="shared" si="3"/>
        <v>0</v>
      </c>
      <c r="T5" s="18" t="str">
        <f t="shared" si="4"/>
        <v>Saudi Arabien</v>
      </c>
      <c r="U5" s="19">
        <f t="shared" si="5"/>
        <v>0</v>
      </c>
      <c r="V5" s="19" t="str">
        <f t="shared" si="6"/>
        <v>Saudi Arabien</v>
      </c>
      <c r="W5" s="19">
        <f t="shared" si="7"/>
        <v>0</v>
      </c>
      <c r="X5" s="19" t="str">
        <f t="shared" si="8"/>
        <v/>
      </c>
      <c r="Y5" s="19" t="str">
        <f t="shared" si="9"/>
        <v/>
      </c>
      <c r="Z5" s="19"/>
      <c r="AC5" s="38" t="str">
        <f>VLOOKUP(2,BQ3:BX6,2,FALSE)</f>
        <v>Saudi Arabien</v>
      </c>
      <c r="AD5" s="26">
        <f>VLOOKUP(2,BQ3:BX6,3,FALSE)</f>
        <v>0</v>
      </c>
      <c r="AE5" s="26">
        <f>VLOOKUP(2,BQ3:BX6,4,FALSE)</f>
        <v>0</v>
      </c>
      <c r="AF5" s="26">
        <f>VLOOKUP(2,BQ3:BX6,5,FALSE)</f>
        <v>0</v>
      </c>
      <c r="AG5" s="26" t="str">
        <f>CONCATENATE(VLOOKUP(2,BQ3:BX6,6,FALSE)," - ",VLOOKUP(2,BQ3:BX6,7,FALSE))</f>
        <v>0 - 0</v>
      </c>
      <c r="AH5" s="39">
        <f>VLOOKUP(2,BQ3:BX6,8,FALSE)</f>
        <v>0</v>
      </c>
      <c r="AI5" s="26"/>
      <c r="AJ5" s="99" t="s">
        <v>28</v>
      </c>
      <c r="AK5" s="100"/>
      <c r="AL5" s="7" t="str">
        <f>[1]Ergebniss!AH3</f>
        <v>Sieger Gruppe C</v>
      </c>
      <c r="AM5" s="7" t="s">
        <v>9</v>
      </c>
      <c r="AN5" s="7" t="str">
        <f>[1]Ergebniss!AJ3</f>
        <v>Zweiter Gruppe D</v>
      </c>
      <c r="AO5" s="7"/>
      <c r="AP5" s="40"/>
      <c r="AQ5" s="40"/>
      <c r="AR5" s="40"/>
      <c r="AS5" s="11"/>
      <c r="AT5" s="29"/>
      <c r="AU5" s="17"/>
      <c r="AV5" s="7"/>
      <c r="BE5" s="8"/>
      <c r="BG5" s="8"/>
      <c r="BJ5" s="7"/>
      <c r="BK5" s="26"/>
      <c r="BL5" s="26"/>
      <c r="BM5" s="26"/>
      <c r="BN5" s="26"/>
      <c r="BO5" s="26"/>
      <c r="BP5" s="12"/>
      <c r="BQ5" s="22">
        <f>IF(BY5&gt;BY3,1,0)+IF(BY5&gt;BY4,1,0)+IF(BY5&gt;BY5,1,0)+IF(BY5&gt;BY6,1,0)+1</f>
        <v>2</v>
      </c>
      <c r="BR5" s="31" t="s">
        <v>10</v>
      </c>
      <c r="BS5" s="32">
        <f>COUNTIF($X$2:$Z$7,CONCATENATE(BR5,"_win"))</f>
        <v>0</v>
      </c>
      <c r="BT5" s="32">
        <f>COUNTIF($X$2:$Z$7,CONCATENATE(BR5,"_draw"))</f>
        <v>0</v>
      </c>
      <c r="BU5" s="32">
        <f>COUNTIF($X$2:$Z$7,CONCATENATE(BR5,"_lose"))</f>
        <v>0</v>
      </c>
      <c r="BV5" s="32">
        <f>SUMIF($T$2:$T$7,CONCATENATE("=",BR5),$U$2:$U$7)+SUMIF($P$2:$P$7,CONCATENATE("=",BR5),$Q$2:$Q$7)</f>
        <v>0</v>
      </c>
      <c r="BW5" s="32">
        <f>SUMIF($V$2:$V$7,CONCATENATE("=",BR5),$W$2:$W$7)+SUMIF($R$2:$R$7,CONCATENATE("=",BR5),$S$2:$S$7)</f>
        <v>0</v>
      </c>
      <c r="BX5" s="32">
        <f>BS5*3+BT5</f>
        <v>0</v>
      </c>
      <c r="BY5" s="32">
        <f>0.2+BV5+(BV5-BW5)*100+BS5*1000+BX5*10000</f>
        <v>0.2</v>
      </c>
      <c r="BZ5" s="12"/>
      <c r="CA5" s="12"/>
      <c r="CB5" s="7" t="str">
        <f>IF(AP21="","",IF(AR21="","",IF(AP21&gt;AR21,AL21,IF(AP21&lt;AR21,AN21,""))))</f>
        <v/>
      </c>
      <c r="CC5" s="7" t="str">
        <f>IF(CB5="","Sieger 3. Achtelfinale",CB5)</f>
        <v>Sieger 3. Achtelfinale</v>
      </c>
    </row>
    <row r="6" spans="1:81" ht="13.5" customHeight="1" thickBot="1" x14ac:dyDescent="0.3">
      <c r="A6" s="13"/>
      <c r="B6" s="7" t="s">
        <v>29</v>
      </c>
      <c r="C6" s="7" t="s">
        <v>24</v>
      </c>
      <c r="D6" s="11" t="s">
        <v>9</v>
      </c>
      <c r="E6" s="7" t="s">
        <v>8</v>
      </c>
      <c r="F6" s="14">
        <f>[1]Ergebniss!G6</f>
        <v>0</v>
      </c>
      <c r="G6" s="15" t="s">
        <v>11</v>
      </c>
      <c r="H6" s="14">
        <f>[1]Ergebniss!I6</f>
        <v>0</v>
      </c>
      <c r="I6" s="11"/>
      <c r="J6" s="87"/>
      <c r="K6" s="15" t="s">
        <v>11</v>
      </c>
      <c r="L6" s="88"/>
      <c r="M6" s="16" t="str">
        <f>IF(OR(ISBLANK([1]Ergebniss!I6)),"",
IF(AND(L6=$H6,$F6=J6),3,IF(L6-J6=$H6-$F6,2,
IF(OR(AND($F6&lt;$H6,J6&lt;L6),AND($F6&gt;$H6,J6&gt;L6)),1,0))))</f>
        <v/>
      </c>
      <c r="N6" s="17"/>
      <c r="O6" s="7"/>
      <c r="P6" s="18" t="str">
        <f t="shared" si="0"/>
        <v>Uruguay</v>
      </c>
      <c r="Q6" s="18">
        <f t="shared" si="1"/>
        <v>0</v>
      </c>
      <c r="R6" s="18" t="str">
        <f t="shared" si="2"/>
        <v>Uruguay</v>
      </c>
      <c r="S6" s="18">
        <f t="shared" si="3"/>
        <v>0</v>
      </c>
      <c r="T6" s="18" t="str">
        <f t="shared" si="4"/>
        <v>Russland</v>
      </c>
      <c r="U6" s="19">
        <f t="shared" si="5"/>
        <v>0</v>
      </c>
      <c r="V6" s="19" t="str">
        <f t="shared" si="6"/>
        <v>Russland</v>
      </c>
      <c r="W6" s="19">
        <f t="shared" si="7"/>
        <v>0</v>
      </c>
      <c r="X6" s="19" t="str">
        <f t="shared" si="8"/>
        <v/>
      </c>
      <c r="Y6" s="19" t="str">
        <f t="shared" si="9"/>
        <v/>
      </c>
      <c r="Z6" s="19"/>
      <c r="AC6" s="41" t="str">
        <f>VLOOKUP(1,BQ3:BX6,2,FALSE)</f>
        <v>Uruguay</v>
      </c>
      <c r="AD6" s="42">
        <f>VLOOKUP(1,BQ3:BX6,3,FALSE)</f>
        <v>0</v>
      </c>
      <c r="AE6" s="42">
        <f>VLOOKUP(1,BQ3:BX6,4,FALSE)</f>
        <v>0</v>
      </c>
      <c r="AF6" s="42">
        <f>VLOOKUP(1,BQ3:BX6,5,FALSE)</f>
        <v>0</v>
      </c>
      <c r="AG6" s="42" t="str">
        <f>CONCATENATE(VLOOKUP(1,BQ3:BX6,6,FALSE)," - ",VLOOKUP(1,BQ3:BX6,7,FALSE))</f>
        <v>0 - 0</v>
      </c>
      <c r="AH6" s="43">
        <f>VLOOKUP(1,BQ3:BX6,8,FALSE)</f>
        <v>0</v>
      </c>
      <c r="AI6" s="26"/>
      <c r="AJ6" s="44"/>
      <c r="AK6" s="45"/>
      <c r="AL6" s="45"/>
      <c r="AM6" s="45"/>
      <c r="AN6" s="45"/>
      <c r="AO6" s="45"/>
      <c r="AP6" s="46"/>
      <c r="AQ6" s="46"/>
      <c r="AR6" s="46"/>
      <c r="AS6" s="46"/>
      <c r="AT6" s="46"/>
      <c r="AU6" s="47"/>
      <c r="AV6" s="7"/>
      <c r="AW6" s="90" t="s">
        <v>30</v>
      </c>
      <c r="AX6" s="91"/>
      <c r="AY6" s="91"/>
      <c r="AZ6" s="91"/>
      <c r="BA6" s="91"/>
      <c r="BB6" s="91"/>
      <c r="BC6" s="2"/>
      <c r="BD6" s="92" t="s">
        <v>31</v>
      </c>
      <c r="BE6" s="92"/>
      <c r="BF6" s="92"/>
      <c r="BG6" s="2"/>
      <c r="BH6" s="5" t="s">
        <v>13</v>
      </c>
      <c r="BI6" s="21"/>
      <c r="BJ6" s="7"/>
      <c r="BK6" s="26"/>
      <c r="BL6" s="26"/>
      <c r="BM6" s="26"/>
      <c r="BN6" s="26"/>
      <c r="BO6" s="26"/>
      <c r="BP6" s="12"/>
      <c r="BQ6" s="22">
        <f>IF(BY6&gt;BY3,1,0)+IF(BY6&gt;BY4,1,0)+IF(BY6&gt;BY5,1,0)+IF(BY6&gt;BY6,1,0)+1</f>
        <v>1</v>
      </c>
      <c r="BR6" s="31" t="s">
        <v>24</v>
      </c>
      <c r="BS6" s="32">
        <f>COUNTIF($X$2:$Z$7,CONCATENATE(BR6,"_win"))</f>
        <v>0</v>
      </c>
      <c r="BT6" s="32">
        <f>COUNTIF($X$2:$Z$7,CONCATENATE(BR6,"_draw"))</f>
        <v>0</v>
      </c>
      <c r="BU6" s="32">
        <f>COUNTIF($X$2:$Z$7,CONCATENATE(BR6,"_lose"))</f>
        <v>0</v>
      </c>
      <c r="BV6" s="32">
        <f>SUMIF($T$2:$T$7,CONCATENATE("=",BR6),$U$2:$U$7)+SUMIF($P$2:$P$7,CONCATENATE("=",BR6),$Q$2:$Q$7)</f>
        <v>0</v>
      </c>
      <c r="BW6" s="32">
        <f>SUMIF($V$2:$V$7,CONCATENATE("=",BR6),$W$2:$W$7)+SUMIF($R$2:$R$7,CONCATENATE("=",BR6),$S$2:$S$7)</f>
        <v>0</v>
      </c>
      <c r="BX6" s="32">
        <f>BS6*3+BT6</f>
        <v>0</v>
      </c>
      <c r="BY6" s="32">
        <f>0.1+BV6+(BV6-BW6)*100+BS6*1000+BX6*10000</f>
        <v>0.1</v>
      </c>
      <c r="BZ6" s="12"/>
      <c r="CA6" s="12"/>
      <c r="CB6" s="7" t="str">
        <f>IF(AP30="","",IF(AP30="","",IF(AP30&gt;AR30,AL30,IF(AP30&lt;AR30,AN30,""))))</f>
        <v/>
      </c>
      <c r="CC6" s="7" t="str">
        <f>IF(CB6="","Sieger 4. Achtelfinale",CB6)</f>
        <v>Sieger 4. Achtelfinale</v>
      </c>
    </row>
    <row r="7" spans="1:81" ht="13.5" customHeight="1" x14ac:dyDescent="0.25">
      <c r="A7" s="13"/>
      <c r="B7" s="7" t="s">
        <v>29</v>
      </c>
      <c r="C7" s="7" t="s">
        <v>10</v>
      </c>
      <c r="D7" s="11" t="s">
        <v>9</v>
      </c>
      <c r="E7" s="7" t="s">
        <v>23</v>
      </c>
      <c r="F7" s="14">
        <f>[1]Ergebniss!G7</f>
        <v>0</v>
      </c>
      <c r="G7" s="15" t="s">
        <v>11</v>
      </c>
      <c r="H7" s="14">
        <f>[1]Ergebniss!I7</f>
        <v>0</v>
      </c>
      <c r="I7" s="11"/>
      <c r="J7" s="87"/>
      <c r="K7" s="15" t="s">
        <v>11</v>
      </c>
      <c r="L7" s="88"/>
      <c r="M7" s="16" t="str">
        <f>IF(OR(ISBLANK([1]Ergebniss!I7)),"",
IF(AND(L7=$H7,$F7=J7),3,IF(L7-J7=$H7-$F7,2,
IF(OR(AND($F7&lt;$H7,J7&lt;L7),AND($F7&gt;$H7,J7&gt;L7)),1,0))))</f>
        <v/>
      </c>
      <c r="N7" s="17"/>
      <c r="O7" s="7"/>
      <c r="P7" s="18" t="str">
        <f t="shared" si="0"/>
        <v>Saudi Arabien</v>
      </c>
      <c r="Q7" s="18">
        <f t="shared" si="1"/>
        <v>0</v>
      </c>
      <c r="R7" s="18" t="str">
        <f t="shared" si="2"/>
        <v>Saudi Arabien</v>
      </c>
      <c r="S7" s="18">
        <f t="shared" si="3"/>
        <v>0</v>
      </c>
      <c r="T7" s="18" t="str">
        <f t="shared" si="4"/>
        <v>Ägypten</v>
      </c>
      <c r="U7" s="19">
        <f t="shared" si="5"/>
        <v>0</v>
      </c>
      <c r="V7" s="19" t="str">
        <f t="shared" si="6"/>
        <v>Ägypten</v>
      </c>
      <c r="W7" s="19">
        <f t="shared" si="7"/>
        <v>0</v>
      </c>
      <c r="X7" s="19" t="str">
        <f t="shared" si="8"/>
        <v/>
      </c>
      <c r="Y7" s="19" t="str">
        <f t="shared" si="9"/>
        <v/>
      </c>
      <c r="Z7" s="19"/>
      <c r="AV7" s="7"/>
      <c r="AW7" s="49"/>
      <c r="AX7" s="96" t="s">
        <v>25</v>
      </c>
      <c r="AY7" s="96"/>
      <c r="AZ7" s="27" t="str">
        <f>CC3</f>
        <v>Sieger 1. Achtelfinale</v>
      </c>
      <c r="BA7" s="7" t="s">
        <v>9</v>
      </c>
      <c r="BB7" s="27" t="str">
        <f>CC4</f>
        <v>Sieger 2. Achtelfinale</v>
      </c>
      <c r="BC7" s="7"/>
      <c r="BD7" s="87"/>
      <c r="BE7" s="15" t="s">
        <v>11</v>
      </c>
      <c r="BF7" s="87"/>
      <c r="BG7" s="11"/>
      <c r="BH7" s="29"/>
      <c r="BI7" s="30"/>
      <c r="BJ7" s="7"/>
    </row>
    <row r="8" spans="1:81" ht="7.5" customHeight="1" thickBot="1" x14ac:dyDescent="0.3">
      <c r="A8" s="44"/>
      <c r="B8" s="45"/>
      <c r="C8" s="45"/>
      <c r="D8" s="46"/>
      <c r="E8" s="45"/>
      <c r="F8" s="15"/>
      <c r="G8" s="15"/>
      <c r="H8" s="15"/>
      <c r="I8" s="11"/>
      <c r="J8" s="28"/>
      <c r="K8" s="28"/>
      <c r="L8" s="28"/>
      <c r="M8" s="16" t="s">
        <v>32</v>
      </c>
      <c r="N8" s="47"/>
      <c r="O8" s="7"/>
      <c r="P8" s="18"/>
      <c r="Q8" s="18"/>
      <c r="R8" s="18"/>
      <c r="S8" s="18"/>
      <c r="T8" s="18"/>
      <c r="U8" s="19"/>
      <c r="V8" s="19"/>
      <c r="W8" s="19"/>
      <c r="X8" s="19"/>
      <c r="Y8" s="19"/>
      <c r="Z8" s="19"/>
      <c r="AV8" s="7"/>
      <c r="AW8" s="49"/>
      <c r="AX8" s="51"/>
      <c r="AY8" s="51"/>
      <c r="AZ8" s="7"/>
      <c r="BA8" s="7"/>
      <c r="BB8" s="7"/>
      <c r="BC8" s="7"/>
      <c r="BD8" s="11"/>
      <c r="BE8" s="7"/>
      <c r="BF8" s="11"/>
      <c r="BG8" s="11"/>
      <c r="BH8" s="100"/>
      <c r="BI8" s="30"/>
      <c r="BJ8" s="7"/>
    </row>
    <row r="9" spans="1:81" ht="12.75" customHeight="1" thickBot="1" x14ac:dyDescent="0.3">
      <c r="F9" s="52"/>
      <c r="G9" s="52"/>
      <c r="H9" s="52"/>
      <c r="I9" s="53"/>
      <c r="J9" s="54"/>
      <c r="K9" s="54"/>
      <c r="L9" s="54"/>
      <c r="M9" s="55" t="s">
        <v>32</v>
      </c>
      <c r="P9" s="18"/>
      <c r="Q9" s="18"/>
      <c r="R9" s="18"/>
      <c r="S9" s="18"/>
      <c r="T9" s="18"/>
      <c r="U9" s="19"/>
      <c r="V9" s="19"/>
      <c r="W9" s="19"/>
      <c r="X9" s="19"/>
      <c r="Y9" s="19"/>
      <c r="Z9" s="19"/>
      <c r="AW9" s="13"/>
      <c r="AX9" s="7"/>
      <c r="AY9" s="7"/>
      <c r="AZ9" s="33"/>
      <c r="BA9" s="7"/>
      <c r="BB9" s="7"/>
      <c r="BC9" s="7"/>
      <c r="BD9" s="11"/>
      <c r="BE9" s="7"/>
      <c r="BF9" s="11"/>
      <c r="BG9" s="7"/>
      <c r="BH9" s="100"/>
      <c r="BI9" s="17"/>
      <c r="BJ9" s="7"/>
    </row>
    <row r="10" spans="1:81" ht="13.5" customHeight="1" thickBot="1" x14ac:dyDescent="0.25">
      <c r="A10" s="1"/>
      <c r="B10" s="2" t="s">
        <v>33</v>
      </c>
      <c r="C10" s="3"/>
      <c r="D10" s="4"/>
      <c r="E10" s="3"/>
      <c r="F10" s="102" t="s">
        <v>1</v>
      </c>
      <c r="G10" s="102"/>
      <c r="H10" s="102"/>
      <c r="I10" s="56"/>
      <c r="J10" s="92"/>
      <c r="K10" s="92"/>
      <c r="L10" s="92"/>
      <c r="M10" s="5" t="s">
        <v>2</v>
      </c>
      <c r="N10" s="6"/>
      <c r="O10" s="7"/>
      <c r="P10" s="18"/>
      <c r="Q10" s="18"/>
      <c r="R10" s="18"/>
      <c r="S10" s="18"/>
      <c r="T10" s="18"/>
      <c r="U10" s="19"/>
      <c r="V10" s="19"/>
      <c r="W10" s="19"/>
      <c r="X10" s="19"/>
      <c r="Y10" s="19"/>
      <c r="Z10" s="19"/>
      <c r="AC10" s="103" t="s">
        <v>33</v>
      </c>
      <c r="AD10" s="105" t="s">
        <v>3</v>
      </c>
      <c r="AE10" s="105" t="s">
        <v>4</v>
      </c>
      <c r="AF10" s="105" t="s">
        <v>5</v>
      </c>
      <c r="AG10" s="105" t="s">
        <v>6</v>
      </c>
      <c r="AH10" s="107" t="s">
        <v>2</v>
      </c>
      <c r="AI10" s="9"/>
      <c r="AW10" s="13"/>
      <c r="AX10" s="100" t="s">
        <v>34</v>
      </c>
      <c r="AY10" s="100"/>
      <c r="AZ10" s="33" t="str">
        <f>[1]Ergebniss!AT7</f>
        <v>Sieger 1. Achtelfinale</v>
      </c>
      <c r="BA10" s="7" t="s">
        <v>9</v>
      </c>
      <c r="BB10" s="7" t="str">
        <f>[1]Ergebniss!AV7</f>
        <v>Sieger 2. Achtelfinale</v>
      </c>
      <c r="BC10" s="7"/>
      <c r="BD10" s="40">
        <v>2</v>
      </c>
      <c r="BE10" s="40" t="s">
        <v>11</v>
      </c>
      <c r="BF10" s="40">
        <v>4</v>
      </c>
      <c r="BG10" s="11"/>
      <c r="BH10" s="29"/>
      <c r="BI10" s="17"/>
      <c r="BJ10" s="7"/>
      <c r="BK10" s="9"/>
      <c r="BL10" s="9"/>
      <c r="BM10" s="9"/>
      <c r="BN10" s="9"/>
      <c r="BO10" s="9"/>
    </row>
    <row r="11" spans="1:81" ht="13.5" customHeight="1" thickBot="1" x14ac:dyDescent="0.3">
      <c r="A11" s="13"/>
      <c r="B11" s="57" t="s">
        <v>22</v>
      </c>
      <c r="C11" s="7" t="s">
        <v>35</v>
      </c>
      <c r="D11" s="11" t="s">
        <v>9</v>
      </c>
      <c r="E11" s="7" t="s">
        <v>36</v>
      </c>
      <c r="F11" s="14">
        <f>[1]Ergebniss!G11</f>
        <v>0</v>
      </c>
      <c r="G11" s="15" t="s">
        <v>11</v>
      </c>
      <c r="H11" s="14">
        <f>[1]Ergebniss!I11</f>
        <v>0</v>
      </c>
      <c r="I11" s="11"/>
      <c r="J11" s="87"/>
      <c r="K11" s="15" t="s">
        <v>11</v>
      </c>
      <c r="L11" s="87"/>
      <c r="M11" s="16" t="str">
        <f>IF(OR(ISBLANK([1]Ergebniss!I11)),"",
IF(AND(L11=$H11,$F11=J11),3,IF(L11-J11=$H11-$F11,2,
IF(OR(AND($F11&lt;$H11,J11&lt;L11),AND($F11&gt;$H11,J11&gt;L11)),1,0))))</f>
        <v/>
      </c>
      <c r="N11" s="17"/>
      <c r="O11" s="7"/>
      <c r="P11" s="18" t="str">
        <f t="shared" ref="P11:P16" si="10">C11</f>
        <v>Marokko</v>
      </c>
      <c r="Q11" s="18">
        <f t="shared" ref="Q11:Q16" si="11">J11</f>
        <v>0</v>
      </c>
      <c r="R11" s="18" t="str">
        <f t="shared" ref="R11:R16" si="12">C11</f>
        <v>Marokko</v>
      </c>
      <c r="S11" s="18">
        <f>L11</f>
        <v>0</v>
      </c>
      <c r="T11" s="18" t="str">
        <f t="shared" ref="T11:T16" si="13">E11</f>
        <v>Iran</v>
      </c>
      <c r="U11" s="19">
        <f>L11</f>
        <v>0</v>
      </c>
      <c r="V11" s="19" t="str">
        <f t="shared" ref="V11:V16" si="14">E11</f>
        <v>Iran</v>
      </c>
      <c r="W11" s="19">
        <f t="shared" ref="W11:W16" si="15">J11</f>
        <v>0</v>
      </c>
      <c r="X11" s="19" t="str">
        <f t="shared" ref="X11:X16" si="16">IF(J11="","",IF(L11="","",IF(J11&gt;L11,CONCATENATE(C11,"_win"),IF(J11&lt;L11,CONCATENATE(C11,"_lose"),CONCATENATE(C11,"_draw")))))</f>
        <v/>
      </c>
      <c r="Y11" s="19" t="str">
        <f t="shared" ref="Y11:Y16" si="17">IF(J11="","",IF(L11="","",IF(J11&gt;L11,CONCATENATE(E11,"_lose"),IF(J11&lt;L11,CONCATENATE(E11,"_win"),CONCATENATE(E11,"_draw")))))</f>
        <v/>
      </c>
      <c r="Z11" s="19"/>
      <c r="AC11" s="104"/>
      <c r="AD11" s="106"/>
      <c r="AE11" s="106"/>
      <c r="AF11" s="106"/>
      <c r="AG11" s="106"/>
      <c r="AH11" s="108"/>
      <c r="AI11" s="9"/>
      <c r="AJ11" s="90" t="s">
        <v>37</v>
      </c>
      <c r="AK11" s="91"/>
      <c r="AL11" s="91"/>
      <c r="AM11" s="91"/>
      <c r="AN11" s="91"/>
      <c r="AO11" s="2"/>
      <c r="AP11" s="92"/>
      <c r="AQ11" s="92"/>
      <c r="AR11" s="92"/>
      <c r="AS11" s="2"/>
      <c r="AT11" s="20" t="s">
        <v>13</v>
      </c>
      <c r="AU11" s="21"/>
      <c r="AV11" s="7"/>
      <c r="AW11" s="44"/>
      <c r="AX11" s="45"/>
      <c r="AY11" s="45"/>
      <c r="AZ11" s="58"/>
      <c r="BA11" s="45"/>
      <c r="BB11" s="45"/>
      <c r="BC11" s="45"/>
      <c r="BD11" s="46"/>
      <c r="BE11" s="46"/>
      <c r="BF11" s="46"/>
      <c r="BG11" s="46"/>
      <c r="BH11" s="46"/>
      <c r="BI11" s="47"/>
      <c r="BJ11" s="7"/>
      <c r="BK11" s="9"/>
      <c r="BL11" s="9"/>
      <c r="BM11" s="9"/>
      <c r="BN11" s="9"/>
      <c r="BO11" s="9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81" ht="13.5" customHeight="1" x14ac:dyDescent="0.25">
      <c r="A12" s="13"/>
      <c r="B12" s="7" t="s">
        <v>22</v>
      </c>
      <c r="C12" s="7" t="s">
        <v>38</v>
      </c>
      <c r="D12" s="11" t="s">
        <v>9</v>
      </c>
      <c r="E12" s="7" t="s">
        <v>39</v>
      </c>
      <c r="F12" s="14">
        <f>[1]Ergebniss!G12</f>
        <v>0</v>
      </c>
      <c r="G12" s="15" t="s">
        <v>11</v>
      </c>
      <c r="H12" s="14">
        <f>[1]Ergebniss!I12</f>
        <v>0</v>
      </c>
      <c r="I12" s="11"/>
      <c r="J12" s="88"/>
      <c r="K12" s="15" t="s">
        <v>11</v>
      </c>
      <c r="L12" s="88"/>
      <c r="M12" s="16" t="str">
        <f>IF(OR(ISBLANK([1]Ergebniss!I12)),"",
IF(AND(L12=$H12,$F12=J12),3,IF(L12-J12=$H12-$F12,2,
IF(OR(AND($F12&lt;$H12,J12&lt;L12),AND($F12&gt;$H12,J12&gt;L12)),1,0))))</f>
        <v/>
      </c>
      <c r="N12" s="17"/>
      <c r="O12" s="7"/>
      <c r="P12" s="18" t="str">
        <f t="shared" si="10"/>
        <v>Portugal</v>
      </c>
      <c r="Q12" s="18">
        <f t="shared" si="11"/>
        <v>0</v>
      </c>
      <c r="R12" s="18" t="str">
        <f t="shared" si="12"/>
        <v>Portugal</v>
      </c>
      <c r="S12" s="18">
        <f t="shared" ref="S12:S34" si="18">L12</f>
        <v>0</v>
      </c>
      <c r="T12" s="18" t="str">
        <f t="shared" si="13"/>
        <v>Spanien</v>
      </c>
      <c r="U12" s="19">
        <f t="shared" ref="U12:U34" si="19">L12</f>
        <v>0</v>
      </c>
      <c r="V12" s="19" t="str">
        <f t="shared" si="14"/>
        <v>Spanien</v>
      </c>
      <c r="W12" s="19">
        <f t="shared" si="15"/>
        <v>0</v>
      </c>
      <c r="X12" s="19" t="str">
        <f t="shared" si="16"/>
        <v/>
      </c>
      <c r="Y12" s="19" t="str">
        <f t="shared" si="17"/>
        <v/>
      </c>
      <c r="Z12" s="19"/>
      <c r="AC12" s="23" t="str">
        <f>VLOOKUP(4,BQ13:BX16,2,FALSE)</f>
        <v>Iran</v>
      </c>
      <c r="AD12" s="24">
        <f>VLOOKUP(4,BQ13:BX16,3,FALSE)</f>
        <v>0</v>
      </c>
      <c r="AE12" s="24">
        <f>VLOOKUP(4,BQ13:BX16,4,FALSE)</f>
        <v>0</v>
      </c>
      <c r="AF12" s="24">
        <f>VLOOKUP(4,BQ13:BX16,5,FALSE)</f>
        <v>0</v>
      </c>
      <c r="AG12" s="24" t="str">
        <f>CONCATENATE(VLOOKUP(4,BQ13:BX16,6,FALSE)," - ",VLOOKUP(4,BQ13:BX16,7,FALSE))</f>
        <v>0 - 0</v>
      </c>
      <c r="AH12" s="25">
        <f>VLOOKUP(4,BQ13:BX16,8,FALSE)</f>
        <v>0</v>
      </c>
      <c r="AI12" s="26"/>
      <c r="AJ12" s="95" t="s">
        <v>25</v>
      </c>
      <c r="AK12" s="96"/>
      <c r="AL12" s="27" t="str">
        <f>CA3</f>
        <v>Sieger Gruppe A</v>
      </c>
      <c r="AM12" s="7" t="s">
        <v>9</v>
      </c>
      <c r="AN12" s="27" t="str">
        <f>CA14</f>
        <v>Zweiter Gruppe B</v>
      </c>
      <c r="AO12" s="7"/>
      <c r="AP12" s="87"/>
      <c r="AQ12" s="15" t="s">
        <v>11</v>
      </c>
      <c r="AR12" s="87"/>
      <c r="AS12" s="11"/>
      <c r="AT12" s="29"/>
      <c r="AU12" s="30"/>
      <c r="AV12" s="7"/>
      <c r="BJ12" s="7"/>
      <c r="BK12" s="26"/>
      <c r="BL12" s="26"/>
      <c r="BM12" s="26"/>
      <c r="BN12" s="26"/>
      <c r="BO12" s="26"/>
      <c r="BP12" s="12"/>
      <c r="BQ12" s="22" t="s">
        <v>15</v>
      </c>
      <c r="BR12" s="22" t="s">
        <v>33</v>
      </c>
      <c r="BS12" s="22" t="s">
        <v>16</v>
      </c>
      <c r="BT12" s="22" t="s">
        <v>17</v>
      </c>
      <c r="BU12" s="22" t="s">
        <v>18</v>
      </c>
      <c r="BV12" s="22" t="s">
        <v>6</v>
      </c>
      <c r="BW12" s="22" t="s">
        <v>19</v>
      </c>
      <c r="BX12" s="22" t="s">
        <v>2</v>
      </c>
      <c r="BY12" s="22" t="s">
        <v>20</v>
      </c>
      <c r="BZ12" s="12"/>
      <c r="CA12" s="12"/>
      <c r="CB12" s="8" t="s">
        <v>21</v>
      </c>
    </row>
    <row r="13" spans="1:81" ht="13.5" customHeight="1" thickBot="1" x14ac:dyDescent="0.3">
      <c r="A13" s="13"/>
      <c r="B13" s="7" t="s">
        <v>27</v>
      </c>
      <c r="C13" s="7" t="s">
        <v>38</v>
      </c>
      <c r="D13" s="11" t="s">
        <v>9</v>
      </c>
      <c r="E13" s="7" t="s">
        <v>35</v>
      </c>
      <c r="F13" s="14">
        <f>[1]Ergebniss!G13</f>
        <v>0</v>
      </c>
      <c r="G13" s="15" t="s">
        <v>11</v>
      </c>
      <c r="H13" s="14">
        <f>[1]Ergebniss!I13</f>
        <v>0</v>
      </c>
      <c r="I13" s="11"/>
      <c r="J13" s="87"/>
      <c r="K13" s="15" t="s">
        <v>11</v>
      </c>
      <c r="L13" s="88"/>
      <c r="M13" s="16" t="str">
        <f>IF(OR(ISBLANK([1]Ergebniss!I13)),"",
IF(AND(L13=$H13,$F13=J13),3,IF(L13-J13=$H13-$F13,2,
IF(OR(AND($F13&lt;$H13,J13&lt;L13),AND($F13&gt;$H13,J13&gt;L13)),1,0))))</f>
        <v/>
      </c>
      <c r="N13" s="17"/>
      <c r="O13" s="7"/>
      <c r="P13" s="18" t="str">
        <f t="shared" si="10"/>
        <v>Portugal</v>
      </c>
      <c r="Q13" s="18">
        <f t="shared" si="11"/>
        <v>0</v>
      </c>
      <c r="R13" s="18" t="str">
        <f t="shared" si="12"/>
        <v>Portugal</v>
      </c>
      <c r="S13" s="18">
        <f t="shared" si="18"/>
        <v>0</v>
      </c>
      <c r="T13" s="18" t="str">
        <f t="shared" si="13"/>
        <v>Marokko</v>
      </c>
      <c r="U13" s="19">
        <f t="shared" si="19"/>
        <v>0</v>
      </c>
      <c r="V13" s="19" t="str">
        <f t="shared" si="14"/>
        <v>Marokko</v>
      </c>
      <c r="W13" s="19">
        <f t="shared" si="15"/>
        <v>0</v>
      </c>
      <c r="X13" s="19" t="str">
        <f t="shared" si="16"/>
        <v/>
      </c>
      <c r="Y13" s="19" t="str">
        <f t="shared" si="17"/>
        <v/>
      </c>
      <c r="Z13" s="19"/>
      <c r="AC13" s="34" t="str">
        <f>VLOOKUP(3,BQ13:BX16,2,FALSE)</f>
        <v>Marokko</v>
      </c>
      <c r="AD13" s="35">
        <f>VLOOKUP(3,BQ13:BX16,3,FALSE)</f>
        <v>0</v>
      </c>
      <c r="AE13" s="35">
        <f>VLOOKUP(3,BQ13:BX16,4,FALSE)</f>
        <v>0</v>
      </c>
      <c r="AF13" s="35">
        <f>VLOOKUP(3,BQ13:BX16,5,FALSE)</f>
        <v>0</v>
      </c>
      <c r="AG13" s="35" t="str">
        <f>CONCATENATE(VLOOKUP(3,BQ13:BX16,6,FALSE)," - ",VLOOKUP(3,BQ13:BX16,7,FALSE))</f>
        <v>0 - 0</v>
      </c>
      <c r="AH13" s="36">
        <f>VLOOKUP(3,BQ13:BX16,8,FALSE)</f>
        <v>0</v>
      </c>
      <c r="AI13" s="26"/>
      <c r="AJ13" s="13"/>
      <c r="AK13" s="7"/>
      <c r="AL13" s="7"/>
      <c r="AM13" s="7"/>
      <c r="AN13" s="7"/>
      <c r="AO13" s="7"/>
      <c r="AP13" s="11"/>
      <c r="AQ13" s="11"/>
      <c r="AR13" s="11"/>
      <c r="AS13" s="11"/>
      <c r="AT13" s="11"/>
      <c r="AU13" s="17"/>
      <c r="AV13" s="7"/>
      <c r="BJ13" s="7"/>
      <c r="BK13" s="26"/>
      <c r="BL13" s="26"/>
      <c r="BM13" s="26"/>
      <c r="BN13" s="26"/>
      <c r="BO13" s="26"/>
      <c r="BP13" s="12"/>
      <c r="BQ13" s="22">
        <f>IF(BY13&gt;BY13,1,0)+IF(BY13&gt;BY14,1,0)+IF(BY13&gt;BY15,1,0)+IF(BY13&gt;BY16,1,0)+1</f>
        <v>4</v>
      </c>
      <c r="BR13" s="31" t="s">
        <v>36</v>
      </c>
      <c r="BS13" s="32">
        <f>COUNTIF($X$11:$Z$16,CONCATENATE(BR13,"_win"))</f>
        <v>0</v>
      </c>
      <c r="BT13" s="32">
        <f>COUNTIF($X$11:$Z$16,CONCATENATE(BR13,"_draw"))</f>
        <v>0</v>
      </c>
      <c r="BU13" s="32">
        <f>COUNTIF($X$11:$Z$16,CONCATENATE(BR13,"_lose"))</f>
        <v>0</v>
      </c>
      <c r="BV13" s="32">
        <f>SUMIF($T$11:$T$16,CONCATENATE("=",BR13),$U$11:$U$16)+SUMIF($P$11:$P$16,CONCATENATE("=",BR13),$Q$11:$Q$16)</f>
        <v>0</v>
      </c>
      <c r="BW13" s="32">
        <f>SUMIF($V$11:$V$16,CONCATENATE("=",BR13),$W$11:$W$16)+SUMIF($R$11:$R$16,CONCATENATE("=",BR13),$S$11:$S$16)</f>
        <v>0</v>
      </c>
      <c r="BX13" s="32">
        <f>BS13*3+BT13</f>
        <v>0</v>
      </c>
      <c r="BY13" s="32">
        <f>0.4+BV13+(BV13-BW13)*100+BS13*1000+BX13*10000</f>
        <v>0.4</v>
      </c>
      <c r="BZ13" s="12"/>
      <c r="CA13" s="31" t="str">
        <f>IF(SUM(BS13:BU16)=12,AC12,"Sieger Gruppe B")</f>
        <v>Sieger Gruppe B</v>
      </c>
      <c r="CB13" s="33" t="str">
        <f>IF(AP40="","",IF(AP40="","",IF(AP40&gt;AR40,AL40,IF(AP40&lt;AR40,AN40,""))))</f>
        <v/>
      </c>
      <c r="CC13" s="8" t="str">
        <f>IF(CB13="","Sieger 5. Achtelfinale",CB13)</f>
        <v>Sieger 5. Achtelfinale</v>
      </c>
    </row>
    <row r="14" spans="1:81" ht="13.5" customHeight="1" x14ac:dyDescent="0.25">
      <c r="A14" s="13"/>
      <c r="B14" s="7" t="s">
        <v>27</v>
      </c>
      <c r="C14" s="7" t="s">
        <v>36</v>
      </c>
      <c r="D14" s="11" t="s">
        <v>9</v>
      </c>
      <c r="E14" s="7" t="s">
        <v>39</v>
      </c>
      <c r="F14" s="14">
        <f>[1]Ergebniss!G14</f>
        <v>0</v>
      </c>
      <c r="G14" s="15" t="s">
        <v>11</v>
      </c>
      <c r="H14" s="14">
        <f>[1]Ergebniss!I14</f>
        <v>0</v>
      </c>
      <c r="I14" s="11"/>
      <c r="J14" s="88"/>
      <c r="K14" s="15" t="s">
        <v>11</v>
      </c>
      <c r="L14" s="88"/>
      <c r="M14" s="16" t="str">
        <f>IF(OR(ISBLANK([1]Ergebniss!I14)),"",
IF(AND(L14=$H14,$F14=J14),3,IF(L14-J14=$H14-$F14,2,
IF(OR(AND($F14&lt;$H14,J14&lt;L14),AND($F14&gt;$H14,J14&gt;L14)),1,0))))</f>
        <v/>
      </c>
      <c r="N14" s="17"/>
      <c r="O14" s="7"/>
      <c r="P14" s="18" t="str">
        <f t="shared" si="10"/>
        <v>Iran</v>
      </c>
      <c r="Q14" s="18">
        <f t="shared" si="11"/>
        <v>0</v>
      </c>
      <c r="R14" s="18" t="str">
        <f t="shared" si="12"/>
        <v>Iran</v>
      </c>
      <c r="S14" s="18">
        <f t="shared" si="18"/>
        <v>0</v>
      </c>
      <c r="T14" s="18" t="str">
        <f t="shared" si="13"/>
        <v>Spanien</v>
      </c>
      <c r="U14" s="19">
        <f t="shared" si="19"/>
        <v>0</v>
      </c>
      <c r="V14" s="19" t="str">
        <f t="shared" si="14"/>
        <v>Spanien</v>
      </c>
      <c r="W14" s="19">
        <f t="shared" si="15"/>
        <v>0</v>
      </c>
      <c r="X14" s="19" t="str">
        <f t="shared" si="16"/>
        <v/>
      </c>
      <c r="Y14" s="19" t="str">
        <f t="shared" si="17"/>
        <v/>
      </c>
      <c r="Z14" s="19"/>
      <c r="AA14" s="11"/>
      <c r="AC14" s="38" t="str">
        <f>VLOOKUP(2,BQ13:BX16,2,FALSE)</f>
        <v>Portugal</v>
      </c>
      <c r="AD14" s="26">
        <f>VLOOKUP(2,BQ13:BX16,3,FALSE)</f>
        <v>0</v>
      </c>
      <c r="AE14" s="26">
        <f>VLOOKUP(2,BQ13:BX16,4,FALSE)</f>
        <v>0</v>
      </c>
      <c r="AF14" s="26">
        <f>VLOOKUP(2,BQ13:BX16,5,FALSE)</f>
        <v>0</v>
      </c>
      <c r="AG14" s="26" t="str">
        <f>CONCATENATE(VLOOKUP(2,BQ13:BX16,6,FALSE)," - ",VLOOKUP(2,BQ13:BX16,7,FALSE))</f>
        <v>0 - 0</v>
      </c>
      <c r="AH14" s="39">
        <f>VLOOKUP(2,BQ13:BX16,8,FALSE)</f>
        <v>0</v>
      </c>
      <c r="AI14" s="26"/>
      <c r="AJ14" s="99" t="s">
        <v>28</v>
      </c>
      <c r="AK14" s="100"/>
      <c r="AL14" s="7" t="str">
        <f>[1]Ergebniss!AH12</f>
        <v>Sieger Gruppe A</v>
      </c>
      <c r="AM14" s="7" t="s">
        <v>9</v>
      </c>
      <c r="AN14" s="7" t="str">
        <f>[1]Ergebniss!AJ12</f>
        <v>Zweiter Gruppe B</v>
      </c>
      <c r="AO14" s="7"/>
      <c r="AP14" s="40"/>
      <c r="AQ14" s="40"/>
      <c r="AR14" s="40"/>
      <c r="AS14" s="11"/>
      <c r="AT14" s="29"/>
      <c r="AU14" s="17"/>
      <c r="AV14" s="11"/>
      <c r="AW14" s="90" t="s">
        <v>40</v>
      </c>
      <c r="AX14" s="91"/>
      <c r="AY14" s="91"/>
      <c r="AZ14" s="91"/>
      <c r="BA14" s="91"/>
      <c r="BB14" s="91"/>
      <c r="BC14" s="2"/>
      <c r="BD14" s="92" t="s">
        <v>31</v>
      </c>
      <c r="BE14" s="92"/>
      <c r="BF14" s="92"/>
      <c r="BG14" s="2"/>
      <c r="BH14" s="5" t="s">
        <v>13</v>
      </c>
      <c r="BI14" s="21"/>
      <c r="BJ14" s="7"/>
      <c r="BK14" s="26"/>
      <c r="BL14" s="26"/>
      <c r="BM14" s="26"/>
      <c r="BN14" s="26"/>
      <c r="BO14" s="26"/>
      <c r="BP14" s="12"/>
      <c r="BQ14" s="22">
        <f>IF(BY14&gt;BY13,1,0)+IF(BY14&gt;BY14,1,0)+IF(BY14&gt;BY15,1,0)+IF(BY14&gt;BY16,1,0)+1</f>
        <v>3</v>
      </c>
      <c r="BR14" s="31" t="s">
        <v>35</v>
      </c>
      <c r="BS14" s="32">
        <f>COUNTIF($X$11:$Z$16,CONCATENATE(BR14,"_win"))</f>
        <v>0</v>
      </c>
      <c r="BT14" s="32">
        <f>COUNTIF($X$11:$Z$16,CONCATENATE(BR14,"_draw"))</f>
        <v>0</v>
      </c>
      <c r="BU14" s="32">
        <f>COUNTIF($X$11:$Z$16,CONCATENATE(BR14,"_lose"))</f>
        <v>0</v>
      </c>
      <c r="BV14" s="32">
        <f>SUMIF($T$11:$T$16,CONCATENATE("=",BR14),$U$11:$U$16)+SUMIF($P$11:$P$16,CONCATENATE("=",BR14),$Q$11:$Q$16)</f>
        <v>0</v>
      </c>
      <c r="BW14" s="32">
        <f>SUMIF($V$11:$V$16,CONCATENATE("=",BR14),$W$11:$W$16)+SUMIF($R$11:$R$16,CONCATENATE("=",BR14),$S$11:$S$16)</f>
        <v>0</v>
      </c>
      <c r="BX14" s="32">
        <f>BS14*3+BT14</f>
        <v>0</v>
      </c>
      <c r="BY14" s="32">
        <f>0.3+BV14+(BV14-BW14)*100+BS14*1000+BX14*10000</f>
        <v>0.3</v>
      </c>
      <c r="BZ14" s="12"/>
      <c r="CA14" s="31" t="str">
        <f>IF(SUM(BS13:BU16)=12,AC13,"Zweiter Gruppe B")</f>
        <v>Zweiter Gruppe B</v>
      </c>
      <c r="CB14" s="7" t="str">
        <f>IF(AP49="","",IF(AP49="","",IF(AP49&gt;AR49,AL49,IF(AP49&lt;AR49,AN49,""))))</f>
        <v/>
      </c>
      <c r="CC14" s="7" t="str">
        <f>IF(CB14="","Sieger 6. Achtelfinale",CB14)</f>
        <v>Sieger 6. Achtelfinale</v>
      </c>
    </row>
    <row r="15" spans="1:81" ht="13.5" customHeight="1" thickBot="1" x14ac:dyDescent="0.3">
      <c r="A15" s="13"/>
      <c r="B15" s="7" t="s">
        <v>29</v>
      </c>
      <c r="C15" s="7" t="s">
        <v>39</v>
      </c>
      <c r="D15" s="11" t="s">
        <v>9</v>
      </c>
      <c r="E15" s="7" t="s">
        <v>35</v>
      </c>
      <c r="F15" s="14">
        <f>[1]Ergebniss!G15</f>
        <v>0</v>
      </c>
      <c r="G15" s="15" t="s">
        <v>11</v>
      </c>
      <c r="H15" s="14">
        <f>[1]Ergebniss!I15</f>
        <v>0</v>
      </c>
      <c r="I15" s="11"/>
      <c r="J15" s="87"/>
      <c r="K15" s="15" t="s">
        <v>11</v>
      </c>
      <c r="L15" s="88"/>
      <c r="M15" s="16" t="str">
        <f>IF(OR(ISBLANK([1]Ergebniss!I15)),"",
IF(AND(L15=$H15,$F15=J15),3,IF(L15-J15=$H15-$F15,2,
IF(OR(AND($F15&lt;$H15,J15&lt;L15),AND($F15&gt;$H15,J15&gt;L15)),1,0))))</f>
        <v/>
      </c>
      <c r="N15" s="17"/>
      <c r="O15" s="7"/>
      <c r="P15" s="18" t="str">
        <f t="shared" si="10"/>
        <v>Spanien</v>
      </c>
      <c r="Q15" s="18">
        <f t="shared" si="11"/>
        <v>0</v>
      </c>
      <c r="R15" s="18" t="str">
        <f t="shared" si="12"/>
        <v>Spanien</v>
      </c>
      <c r="S15" s="18">
        <f t="shared" si="18"/>
        <v>0</v>
      </c>
      <c r="T15" s="18" t="str">
        <f t="shared" si="13"/>
        <v>Marokko</v>
      </c>
      <c r="U15" s="19">
        <f t="shared" si="19"/>
        <v>0</v>
      </c>
      <c r="V15" s="19" t="str">
        <f t="shared" si="14"/>
        <v>Marokko</v>
      </c>
      <c r="W15" s="19">
        <f t="shared" si="15"/>
        <v>0</v>
      </c>
      <c r="X15" s="19" t="str">
        <f t="shared" si="16"/>
        <v/>
      </c>
      <c r="Y15" s="19" t="str">
        <f t="shared" si="17"/>
        <v/>
      </c>
      <c r="Z15" s="19"/>
      <c r="AA15" s="7"/>
      <c r="AC15" s="41" t="str">
        <f>VLOOKUP(1,BQ13:BX16,2,FALSE)</f>
        <v>Spanien</v>
      </c>
      <c r="AD15" s="42">
        <f>VLOOKUP(1,BQ13:BX16,3,FALSE)</f>
        <v>0</v>
      </c>
      <c r="AE15" s="42">
        <f>VLOOKUP(1,BQ13:BX16,4,FALSE)</f>
        <v>0</v>
      </c>
      <c r="AF15" s="42">
        <f>VLOOKUP(1,BQ13:BX16,5,FALSE)</f>
        <v>0</v>
      </c>
      <c r="AG15" s="42" t="str">
        <f>CONCATENATE(VLOOKUP(1,BQ13:BX16,6,FALSE)," - ",VLOOKUP(1,BQ13:BX16,7,FALSE))</f>
        <v>0 - 0</v>
      </c>
      <c r="AH15" s="43">
        <f>VLOOKUP(1,BQ13:BX16,8,FALSE)</f>
        <v>0</v>
      </c>
      <c r="AI15" s="26"/>
      <c r="AJ15" s="44"/>
      <c r="AK15" s="45"/>
      <c r="AL15" s="45"/>
      <c r="AM15" s="45"/>
      <c r="AN15" s="45"/>
      <c r="AO15" s="45"/>
      <c r="AP15" s="46"/>
      <c r="AQ15" s="46"/>
      <c r="AR15" s="46"/>
      <c r="AS15" s="46"/>
      <c r="AT15" s="46"/>
      <c r="AU15" s="47"/>
      <c r="AV15" s="7"/>
      <c r="AW15" s="49"/>
      <c r="AX15" s="96" t="s">
        <v>25</v>
      </c>
      <c r="AY15" s="96"/>
      <c r="AZ15" s="59" t="str">
        <f>CC13</f>
        <v>Sieger 5. Achtelfinale</v>
      </c>
      <c r="BA15" s="7" t="s">
        <v>9</v>
      </c>
      <c r="BB15" s="27" t="str">
        <f>CC14</f>
        <v>Sieger 6. Achtelfinale</v>
      </c>
      <c r="BC15" s="7"/>
      <c r="BD15" s="87"/>
      <c r="BE15" s="15" t="s">
        <v>11</v>
      </c>
      <c r="BF15" s="87"/>
      <c r="BG15" s="11"/>
      <c r="BH15" s="29"/>
      <c r="BI15" s="30"/>
      <c r="BJ15" s="7"/>
      <c r="BK15" s="26"/>
      <c r="BL15" s="26"/>
      <c r="BM15" s="26"/>
      <c r="BN15" s="26"/>
      <c r="BO15" s="26"/>
      <c r="BP15" s="12"/>
      <c r="BQ15" s="22">
        <f>IF(BY15&gt;BY13,1,0)+IF(BY15&gt;BY14,1,0)+IF(BY15&gt;BY15,1,0)+IF(BY15&gt;BY16,1,0)+1</f>
        <v>2</v>
      </c>
      <c r="BR15" s="31" t="s">
        <v>38</v>
      </c>
      <c r="BS15" s="32">
        <f>COUNTIF($X$11:$Z$16,CONCATENATE(BR15,"_win"))</f>
        <v>0</v>
      </c>
      <c r="BT15" s="32">
        <f>COUNTIF($X$11:$Z$16,CONCATENATE(BR15,"_draw"))</f>
        <v>0</v>
      </c>
      <c r="BU15" s="32">
        <f>COUNTIF($X$11:$Z$16,CONCATENATE(BR15,"_lose"))</f>
        <v>0</v>
      </c>
      <c r="BV15" s="32">
        <f>SUMIF($T$11:$T$16,CONCATENATE("=",BR15),$U$11:$U$16)+SUMIF($P$11:$P$16,CONCATENATE("=",BR15),$Q$11:$Q$16)</f>
        <v>0</v>
      </c>
      <c r="BW15" s="32">
        <f>SUMIF($V$11:$V$16,CONCATENATE("=",BR15),$W$11:$W$16)+SUMIF($R$11:$R$16,CONCATENATE("=",BR15),$S$11:$S$16)</f>
        <v>0</v>
      </c>
      <c r="BX15" s="32">
        <f>BS15*3+BT15</f>
        <v>0</v>
      </c>
      <c r="BY15" s="32">
        <f>0.2+BV15+(BV15-BW15)*100+BS15*1000+BX15*10000</f>
        <v>0.2</v>
      </c>
      <c r="BZ15" s="12"/>
      <c r="CA15" s="12"/>
      <c r="CB15" s="7" t="str">
        <f>IF(AP59="","",IF(AR59="","",IF(AP59&gt;AR59,AL59,IF(AP59&lt;AR59,AN59,""))))</f>
        <v/>
      </c>
      <c r="CC15" s="7" t="str">
        <f>IF(CB15="","Sieger 7. Achtelfinale",CB15)</f>
        <v>Sieger 7. Achtelfinale</v>
      </c>
    </row>
    <row r="16" spans="1:81" ht="13.5" customHeight="1" x14ac:dyDescent="0.25">
      <c r="A16" s="13"/>
      <c r="B16" s="7" t="s">
        <v>29</v>
      </c>
      <c r="C16" s="7" t="s">
        <v>36</v>
      </c>
      <c r="D16" s="11" t="s">
        <v>9</v>
      </c>
      <c r="E16" s="7" t="s">
        <v>38</v>
      </c>
      <c r="F16" s="14">
        <f>[1]Ergebniss!G16</f>
        <v>0</v>
      </c>
      <c r="G16" s="15" t="s">
        <v>11</v>
      </c>
      <c r="H16" s="14">
        <f>[1]Ergebniss!I16</f>
        <v>0</v>
      </c>
      <c r="I16" s="11"/>
      <c r="J16" s="87"/>
      <c r="K16" s="15" t="s">
        <v>11</v>
      </c>
      <c r="L16" s="88"/>
      <c r="M16" s="16" t="str">
        <f>IF(OR(ISBLANK([1]Ergebniss!I16)),"",
IF(AND(L16=$H16,$F16=J16),3,IF(L16-J16=$H16-$F16,2,
IF(OR(AND($F16&lt;$H16,J16&lt;L16),AND($F16&gt;$H16,J16&gt;L16)),1,0))))</f>
        <v/>
      </c>
      <c r="N16" s="17"/>
      <c r="O16" s="7"/>
      <c r="P16" s="18" t="str">
        <f t="shared" si="10"/>
        <v>Iran</v>
      </c>
      <c r="Q16" s="18">
        <f t="shared" si="11"/>
        <v>0</v>
      </c>
      <c r="R16" s="18" t="str">
        <f t="shared" si="12"/>
        <v>Iran</v>
      </c>
      <c r="S16" s="18">
        <f t="shared" si="18"/>
        <v>0</v>
      </c>
      <c r="T16" s="18" t="str">
        <f t="shared" si="13"/>
        <v>Portugal</v>
      </c>
      <c r="U16" s="19">
        <f t="shared" si="19"/>
        <v>0</v>
      </c>
      <c r="V16" s="19" t="str">
        <f t="shared" si="14"/>
        <v>Portugal</v>
      </c>
      <c r="W16" s="19">
        <f t="shared" si="15"/>
        <v>0</v>
      </c>
      <c r="X16" s="19" t="str">
        <f t="shared" si="16"/>
        <v/>
      </c>
      <c r="Y16" s="19" t="str">
        <f t="shared" si="17"/>
        <v/>
      </c>
      <c r="Z16" s="19"/>
      <c r="AA16" s="7"/>
      <c r="AC16" s="8"/>
      <c r="AD16" s="8"/>
      <c r="AE16" s="8"/>
      <c r="AF16" s="8"/>
      <c r="AG16" s="8"/>
      <c r="AH16" s="8"/>
      <c r="AI16" s="8"/>
      <c r="AW16" s="13"/>
      <c r="AX16" s="7"/>
      <c r="AY16" s="7"/>
      <c r="AZ16" s="33"/>
      <c r="BA16" s="7"/>
      <c r="BB16" s="7"/>
      <c r="BC16" s="7"/>
      <c r="BD16" s="11"/>
      <c r="BE16" s="7"/>
      <c r="BF16" s="11"/>
      <c r="BG16" s="7"/>
      <c r="BH16" s="60"/>
      <c r="BI16" s="17"/>
      <c r="BJ16" s="7"/>
      <c r="BK16" s="8"/>
      <c r="BL16" s="8"/>
      <c r="BM16" s="8"/>
      <c r="BN16" s="8"/>
      <c r="BO16" s="8"/>
      <c r="BP16" s="12"/>
      <c r="BQ16" s="22">
        <f>IF(BY16&gt;BY13,1,0)+IF(BY16&gt;BY14,1,0)+IF(BY16&gt;BY15,1,0)+IF(BY16&gt;BY16,1,0)+1</f>
        <v>1</v>
      </c>
      <c r="BR16" s="31" t="s">
        <v>39</v>
      </c>
      <c r="BS16" s="32">
        <f>COUNTIF($X$11:$Z$16,CONCATENATE(BR16,"_win"))</f>
        <v>0</v>
      </c>
      <c r="BT16" s="32">
        <f>COUNTIF($X$11:$Z$16,CONCATENATE(BR16,"_draw"))</f>
        <v>0</v>
      </c>
      <c r="BU16" s="32">
        <f>COUNTIF($X$11:$Z$16,CONCATENATE(BR16,"_lose"))</f>
        <v>0</v>
      </c>
      <c r="BV16" s="32">
        <f>SUMIF($T$11:$T$16,CONCATENATE("=",BR16),$U$11:$U$16)+SUMIF($P$11:$P$16,CONCATENATE("=",BR16),$Q$11:$Q$16)</f>
        <v>0</v>
      </c>
      <c r="BW16" s="32">
        <f>SUMIF($V$11:$V$16,CONCATENATE("=",BR16),$W$11:$W$16)+SUMIF($R$11:$R$16,CONCATENATE("=",BR16),$S$11:$S$16)</f>
        <v>0</v>
      </c>
      <c r="BX16" s="32">
        <f>BS16*3+BT16</f>
        <v>0</v>
      </c>
      <c r="BY16" s="32">
        <f>0.1+BV16+(BV16-BW16)*100+BS16*1000+BX16*10000</f>
        <v>0.1</v>
      </c>
      <c r="BZ16" s="12"/>
      <c r="CA16" s="12"/>
      <c r="CB16" s="7" t="str">
        <f>IF(AP68="","",IF(AP68="","",IF(AP68&gt;AR68,AL68,IF(AP68&lt;AR68,AN68,""))))</f>
        <v/>
      </c>
      <c r="CC16" s="7" t="str">
        <f>IF(CB16="","Sieger 8. Achtelfinale",CB16)</f>
        <v>Sieger 8. Achtelfinale</v>
      </c>
    </row>
    <row r="17" spans="1:81" ht="7.5" customHeight="1" thickBot="1" x14ac:dyDescent="0.3">
      <c r="A17" s="44"/>
      <c r="B17" s="45"/>
      <c r="C17" s="45"/>
      <c r="D17" s="46"/>
      <c r="E17" s="45"/>
      <c r="F17" s="14"/>
      <c r="G17" s="15"/>
      <c r="H17" s="14"/>
      <c r="I17" s="46"/>
      <c r="J17" s="61"/>
      <c r="K17" s="61"/>
      <c r="L17" s="61"/>
      <c r="M17" s="16"/>
      <c r="N17" s="47"/>
      <c r="O17" s="7"/>
      <c r="P17" s="18"/>
      <c r="Q17" s="18"/>
      <c r="R17" s="18"/>
      <c r="S17" s="18"/>
      <c r="T17" s="18"/>
      <c r="U17" s="19"/>
      <c r="V17" s="19"/>
      <c r="W17" s="19"/>
      <c r="X17" s="19"/>
      <c r="Y17" s="19"/>
      <c r="Z17" s="19"/>
      <c r="AA17" s="7"/>
      <c r="AC17" s="8"/>
      <c r="AD17" s="8"/>
      <c r="AE17" s="8"/>
      <c r="AF17" s="8"/>
      <c r="AG17" s="8"/>
      <c r="AH17" s="8"/>
      <c r="AI17" s="8"/>
      <c r="AW17" s="13"/>
      <c r="AX17" s="100" t="s">
        <v>34</v>
      </c>
      <c r="AY17" s="100"/>
      <c r="AZ17" s="109" t="str">
        <f>[1]Ergebniss!AT15</f>
        <v>Sieger 5. Achtelfinale</v>
      </c>
      <c r="BA17" s="100" t="s">
        <v>9</v>
      </c>
      <c r="BB17" s="111" t="str">
        <f>[1]Ergebniss!AV15</f>
        <v>Sieger 6. Achtelfinale</v>
      </c>
      <c r="BC17" s="7"/>
      <c r="BD17" s="101">
        <v>0</v>
      </c>
      <c r="BE17" s="101" t="s">
        <v>11</v>
      </c>
      <c r="BF17" s="101">
        <v>2</v>
      </c>
      <c r="BG17" s="7"/>
      <c r="BH17" s="100"/>
      <c r="BI17" s="17"/>
      <c r="BJ17" s="7"/>
      <c r="BK17" s="8"/>
      <c r="BL17" s="8"/>
      <c r="BM17" s="8"/>
      <c r="BN17" s="8"/>
      <c r="BO17" s="8"/>
      <c r="BP17" s="12"/>
      <c r="BQ17" s="22"/>
      <c r="BR17" s="31"/>
      <c r="BS17" s="32"/>
      <c r="BT17" s="32"/>
      <c r="BU17" s="32"/>
      <c r="BV17" s="32"/>
      <c r="BW17" s="32"/>
      <c r="BX17" s="32"/>
      <c r="BY17" s="32"/>
      <c r="BZ17" s="12"/>
      <c r="CA17" s="12"/>
    </row>
    <row r="18" spans="1:81" ht="12.75" customHeight="1" thickBot="1" x14ac:dyDescent="0.3">
      <c r="F18" s="52"/>
      <c r="G18" s="52"/>
      <c r="H18" s="52"/>
      <c r="I18" s="53"/>
      <c r="J18" s="54"/>
      <c r="K18" s="54"/>
      <c r="L18" s="54"/>
      <c r="M18" s="55" t="s">
        <v>32</v>
      </c>
      <c r="P18" s="18"/>
      <c r="Q18" s="18"/>
      <c r="R18" s="18"/>
      <c r="S18" s="18"/>
      <c r="T18" s="18"/>
      <c r="U18" s="19"/>
      <c r="V18" s="19"/>
      <c r="W18" s="19"/>
      <c r="X18" s="19"/>
      <c r="Y18" s="19"/>
      <c r="Z18" s="19"/>
      <c r="AA18" s="7"/>
      <c r="AW18" s="13"/>
      <c r="AX18" s="100"/>
      <c r="AY18" s="100"/>
      <c r="AZ18" s="109"/>
      <c r="BA18" s="100"/>
      <c r="BB18" s="111"/>
      <c r="BC18" s="7"/>
      <c r="BD18" s="101"/>
      <c r="BE18" s="101"/>
      <c r="BF18" s="101"/>
      <c r="BG18" s="11"/>
      <c r="BH18" s="110"/>
      <c r="BI18" s="17"/>
      <c r="BJ18" s="7"/>
    </row>
    <row r="19" spans="1:81" ht="13.5" customHeight="1" thickBot="1" x14ac:dyDescent="0.25">
      <c r="A19" s="1"/>
      <c r="B19" s="2" t="s">
        <v>41</v>
      </c>
      <c r="C19" s="3"/>
      <c r="D19" s="4"/>
      <c r="E19" s="3"/>
      <c r="F19" s="102" t="s">
        <v>1</v>
      </c>
      <c r="G19" s="102"/>
      <c r="H19" s="102"/>
      <c r="I19" s="5"/>
      <c r="J19" s="92"/>
      <c r="K19" s="92"/>
      <c r="L19" s="92"/>
      <c r="M19" s="5" t="s">
        <v>2</v>
      </c>
      <c r="N19" s="6"/>
      <c r="O19" s="7"/>
      <c r="P19" s="18"/>
      <c r="Q19" s="18"/>
      <c r="R19" s="18"/>
      <c r="S19" s="18"/>
      <c r="T19" s="18"/>
      <c r="U19" s="19"/>
      <c r="V19" s="19"/>
      <c r="W19" s="19"/>
      <c r="X19" s="19"/>
      <c r="Y19" s="19"/>
      <c r="Z19" s="19"/>
      <c r="AA19" s="7"/>
      <c r="AC19" s="103" t="s">
        <v>41</v>
      </c>
      <c r="AD19" s="105" t="s">
        <v>3</v>
      </c>
      <c r="AE19" s="105" t="s">
        <v>4</v>
      </c>
      <c r="AF19" s="105" t="s">
        <v>5</v>
      </c>
      <c r="AG19" s="105" t="s">
        <v>6</v>
      </c>
      <c r="AH19" s="107" t="s">
        <v>2</v>
      </c>
      <c r="AI19" s="9"/>
      <c r="AV19" s="7"/>
      <c r="AW19" s="44"/>
      <c r="AX19" s="45"/>
      <c r="AY19" s="45"/>
      <c r="AZ19" s="58"/>
      <c r="BA19" s="45"/>
      <c r="BB19" s="45"/>
      <c r="BC19" s="45"/>
      <c r="BD19" s="46"/>
      <c r="BE19" s="46"/>
      <c r="BF19" s="46"/>
      <c r="BG19" s="46"/>
      <c r="BH19" s="46"/>
      <c r="BI19" s="47"/>
      <c r="BJ19" s="7"/>
      <c r="BK19" s="9"/>
      <c r="BL19" s="9"/>
      <c r="BM19" s="9"/>
      <c r="BN19" s="9"/>
      <c r="BO19" s="9"/>
      <c r="CB19" s="62"/>
      <c r="CC19" s="62"/>
    </row>
    <row r="20" spans="1:81" ht="13.5" customHeight="1" thickBot="1" x14ac:dyDescent="0.3">
      <c r="A20" s="13"/>
      <c r="B20" s="7" t="s">
        <v>42</v>
      </c>
      <c r="C20" s="7" t="s">
        <v>43</v>
      </c>
      <c r="D20" s="11" t="s">
        <v>9</v>
      </c>
      <c r="E20" s="7" t="s">
        <v>44</v>
      </c>
      <c r="F20" s="14">
        <f>[1]Ergebniss!G20</f>
        <v>0</v>
      </c>
      <c r="G20" s="15" t="s">
        <v>11</v>
      </c>
      <c r="H20" s="14">
        <f>[1]Ergebniss!I20</f>
        <v>0</v>
      </c>
      <c r="I20" s="11"/>
      <c r="J20" s="87"/>
      <c r="K20" s="15" t="s">
        <v>11</v>
      </c>
      <c r="L20" s="87"/>
      <c r="M20" s="16" t="str">
        <f>IF(OR(ISBLANK([1]Ergebniss!I20)),"",
IF(AND(L20=$H20,$F20=J20),3,IF(L20-J20=$H20-$F20,2,
IF(OR(AND($F20&lt;$H20,J20&lt;L20),AND($F20&gt;$H20,J20&gt;L20)),1,0))))</f>
        <v/>
      </c>
      <c r="N20" s="17"/>
      <c r="O20" s="7"/>
      <c r="P20" s="18" t="str">
        <f t="shared" ref="P20:P25" si="20">C20</f>
        <v>Frankreich</v>
      </c>
      <c r="Q20" s="18">
        <f t="shared" ref="Q20:Q25" si="21">J20</f>
        <v>0</v>
      </c>
      <c r="R20" s="18" t="str">
        <f t="shared" ref="R20:R25" si="22">C20</f>
        <v>Frankreich</v>
      </c>
      <c r="S20" s="18">
        <f t="shared" si="18"/>
        <v>0</v>
      </c>
      <c r="T20" s="18" t="str">
        <f t="shared" ref="T20:T25" si="23">E20</f>
        <v>Australien</v>
      </c>
      <c r="U20" s="19">
        <f t="shared" si="19"/>
        <v>0</v>
      </c>
      <c r="V20" s="19" t="str">
        <f t="shared" ref="V20:V25" si="24">E20</f>
        <v>Australien</v>
      </c>
      <c r="W20" s="19">
        <f t="shared" ref="W20:W25" si="25">J20</f>
        <v>0</v>
      </c>
      <c r="X20" s="19" t="str">
        <f t="shared" ref="X20:X25" si="26">IF(J20="","",IF(L20="","",IF(J20&gt;L20,CONCATENATE(C20,"_win"),IF(J20&lt;L20,CONCATENATE(C20,"_lose"),CONCATENATE(C20,"_draw")))))</f>
        <v/>
      </c>
      <c r="Y20" s="19" t="str">
        <f t="shared" ref="Y20:Y25" si="27">IF(J20="","",IF(L20="","",IF(J20&gt;L20,CONCATENATE(E20,"_lose"),IF(J20&lt;L20,CONCATENATE(E20,"_win"),CONCATENATE(E20,"_draw")))))</f>
        <v/>
      </c>
      <c r="Z20" s="19"/>
      <c r="AA20" s="7"/>
      <c r="AC20" s="104"/>
      <c r="AD20" s="106"/>
      <c r="AE20" s="106"/>
      <c r="AF20" s="106"/>
      <c r="AG20" s="106"/>
      <c r="AH20" s="108"/>
      <c r="AI20" s="9"/>
      <c r="AJ20" s="90" t="s">
        <v>45</v>
      </c>
      <c r="AK20" s="91"/>
      <c r="AL20" s="91"/>
      <c r="AM20" s="91"/>
      <c r="AN20" s="91"/>
      <c r="AO20" s="2"/>
      <c r="AP20" s="92"/>
      <c r="AQ20" s="92"/>
      <c r="AR20" s="92"/>
      <c r="AS20" s="2"/>
      <c r="AT20" s="20" t="s">
        <v>13</v>
      </c>
      <c r="AU20" s="21"/>
      <c r="AV20" s="7"/>
      <c r="AZ20" s="63" t="s">
        <v>46</v>
      </c>
      <c r="BE20" s="8"/>
      <c r="BG20" s="8"/>
      <c r="BH20" s="4"/>
      <c r="BJ20" s="7"/>
      <c r="BK20" s="9"/>
      <c r="BL20" s="9"/>
      <c r="BM20" s="9"/>
      <c r="BN20" s="9"/>
      <c r="BO20" s="9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64"/>
      <c r="CC20" s="64"/>
    </row>
    <row r="21" spans="1:81" ht="13.5" customHeight="1" thickBot="1" x14ac:dyDescent="0.3">
      <c r="A21" s="13"/>
      <c r="B21" s="7" t="s">
        <v>42</v>
      </c>
      <c r="C21" s="7" t="s">
        <v>47</v>
      </c>
      <c r="D21" s="11" t="s">
        <v>9</v>
      </c>
      <c r="E21" s="7" t="s">
        <v>48</v>
      </c>
      <c r="F21" s="14">
        <f>[1]Ergebniss!G21</f>
        <v>0</v>
      </c>
      <c r="G21" s="15" t="s">
        <v>11</v>
      </c>
      <c r="H21" s="14">
        <f>[1]Ergebniss!I21</f>
        <v>0</v>
      </c>
      <c r="I21" s="11"/>
      <c r="J21" s="88"/>
      <c r="K21" s="15" t="s">
        <v>11</v>
      </c>
      <c r="L21" s="88"/>
      <c r="M21" s="16" t="str">
        <f>IF(OR(ISBLANK([1]Ergebniss!I21)),"",
IF(AND(L21=$H21,$F21=J21),3,IF(L21-J21=$H21-$F21,2,
IF(OR(AND($F21&lt;$H21,J21&lt;L21),AND($F21&gt;$H21,J21&gt;L21)),1,0))))</f>
        <v/>
      </c>
      <c r="N21" s="17"/>
      <c r="O21" s="7"/>
      <c r="P21" s="18" t="str">
        <f t="shared" si="20"/>
        <v>Peru</v>
      </c>
      <c r="Q21" s="18">
        <f t="shared" si="21"/>
        <v>0</v>
      </c>
      <c r="R21" s="18" t="str">
        <f t="shared" si="22"/>
        <v>Peru</v>
      </c>
      <c r="S21" s="18">
        <f t="shared" si="18"/>
        <v>0</v>
      </c>
      <c r="T21" s="18" t="str">
        <f t="shared" si="23"/>
        <v>Dänemark</v>
      </c>
      <c r="U21" s="19">
        <f t="shared" si="19"/>
        <v>0</v>
      </c>
      <c r="V21" s="19" t="str">
        <f t="shared" si="24"/>
        <v>Dänemark</v>
      </c>
      <c r="W21" s="19">
        <f t="shared" si="25"/>
        <v>0</v>
      </c>
      <c r="X21" s="19" t="str">
        <f t="shared" si="26"/>
        <v/>
      </c>
      <c r="Y21" s="19" t="str">
        <f t="shared" si="27"/>
        <v/>
      </c>
      <c r="Z21" s="19"/>
      <c r="AA21" s="7"/>
      <c r="AC21" s="23" t="str">
        <f>VLOOKUP(4,BQ22:BX25,2,FALSE)</f>
        <v>Australien</v>
      </c>
      <c r="AD21" s="24">
        <f>VLOOKUP(4,BQ22:BX25,3,FALSE)</f>
        <v>0</v>
      </c>
      <c r="AE21" s="24">
        <f>VLOOKUP(4,BQ22:BX25,4,FALSE)</f>
        <v>0</v>
      </c>
      <c r="AF21" s="24">
        <f>VLOOKUP(4,BQ22:BX25,5,FALSE)</f>
        <v>0</v>
      </c>
      <c r="AG21" s="24" t="str">
        <f>CONCATENATE(VLOOKUP(4,BQ22:BX25,6,FALSE)," - ",VLOOKUP(4,BQ22:BX25,7,FALSE))</f>
        <v>0 - 0</v>
      </c>
      <c r="AH21" s="25">
        <f>VLOOKUP(4,BQ22:BX25,8,FALSE)</f>
        <v>0</v>
      </c>
      <c r="AI21" s="26"/>
      <c r="AJ21" s="95" t="s">
        <v>25</v>
      </c>
      <c r="AK21" s="96"/>
      <c r="AL21" s="27" t="str">
        <f>CA13</f>
        <v>Sieger Gruppe B</v>
      </c>
      <c r="AM21" s="7" t="s">
        <v>9</v>
      </c>
      <c r="AN21" s="27" t="str">
        <f>CA4</f>
        <v>Zweiter Gruppe A</v>
      </c>
      <c r="AO21" s="7"/>
      <c r="AP21" s="87"/>
      <c r="AQ21" s="15" t="s">
        <v>11</v>
      </c>
      <c r="AR21" s="87"/>
      <c r="AS21" s="11"/>
      <c r="AT21" s="29"/>
      <c r="AU21" s="30"/>
      <c r="AV21" s="7"/>
      <c r="BJ21" s="7"/>
      <c r="BK21" s="26"/>
      <c r="BL21" s="26"/>
      <c r="BM21" s="26"/>
      <c r="BN21" s="26"/>
      <c r="BO21" s="26"/>
      <c r="BP21" s="12"/>
      <c r="BQ21" s="22" t="s">
        <v>15</v>
      </c>
      <c r="BR21" s="22" t="s">
        <v>41</v>
      </c>
      <c r="BS21" s="22" t="s">
        <v>16</v>
      </c>
      <c r="BT21" s="22" t="s">
        <v>17</v>
      </c>
      <c r="BU21" s="22" t="s">
        <v>18</v>
      </c>
      <c r="BV21" s="22" t="s">
        <v>6</v>
      </c>
      <c r="BW21" s="22" t="s">
        <v>19</v>
      </c>
      <c r="BX21" s="22" t="s">
        <v>2</v>
      </c>
      <c r="BY21" s="22" t="s">
        <v>20</v>
      </c>
      <c r="BZ21" s="12"/>
      <c r="CA21" s="12"/>
      <c r="CB21" s="8" t="s">
        <v>49</v>
      </c>
    </row>
    <row r="22" spans="1:81" ht="13.5" customHeight="1" thickBot="1" x14ac:dyDescent="0.3">
      <c r="A22" s="13"/>
      <c r="B22" s="7" t="s">
        <v>50</v>
      </c>
      <c r="C22" s="7" t="s">
        <v>48</v>
      </c>
      <c r="D22" s="11" t="s">
        <v>9</v>
      </c>
      <c r="E22" s="7" t="s">
        <v>44</v>
      </c>
      <c r="F22" s="14">
        <f>[1]Ergebniss!G22</f>
        <v>0</v>
      </c>
      <c r="G22" s="15" t="s">
        <v>11</v>
      </c>
      <c r="H22" s="14">
        <f>[1]Ergebniss!I22</f>
        <v>0</v>
      </c>
      <c r="I22" s="11"/>
      <c r="J22" s="87"/>
      <c r="K22" s="15" t="s">
        <v>11</v>
      </c>
      <c r="L22" s="88"/>
      <c r="M22" s="16" t="str">
        <f>IF(OR(ISBLANK([1]Ergebniss!I22)),"",
IF(AND(L22=$H22,$F22=J22),3,IF(L22-J22=$H22-$F22,2,
IF(OR(AND($F22&lt;$H22,J22&lt;L22),AND($F22&gt;$H22,J22&gt;L22)),1,0))))</f>
        <v/>
      </c>
      <c r="N22" s="17"/>
      <c r="O22" s="7"/>
      <c r="P22" s="18" t="str">
        <f t="shared" si="20"/>
        <v>Dänemark</v>
      </c>
      <c r="Q22" s="18">
        <f t="shared" si="21"/>
        <v>0</v>
      </c>
      <c r="R22" s="18" t="str">
        <f t="shared" si="22"/>
        <v>Dänemark</v>
      </c>
      <c r="S22" s="18">
        <f t="shared" si="18"/>
        <v>0</v>
      </c>
      <c r="T22" s="18" t="str">
        <f t="shared" si="23"/>
        <v>Australien</v>
      </c>
      <c r="U22" s="19">
        <f t="shared" si="19"/>
        <v>0</v>
      </c>
      <c r="V22" s="19" t="str">
        <f t="shared" si="24"/>
        <v>Australien</v>
      </c>
      <c r="W22" s="19">
        <f t="shared" si="25"/>
        <v>0</v>
      </c>
      <c r="X22" s="19" t="str">
        <f t="shared" si="26"/>
        <v/>
      </c>
      <c r="Y22" s="19" t="str">
        <f t="shared" si="27"/>
        <v/>
      </c>
      <c r="Z22" s="19"/>
      <c r="AC22" s="34" t="str">
        <f>VLOOKUP(3,BQ22:BX25,2,FALSE)</f>
        <v>Dänemark</v>
      </c>
      <c r="AD22" s="35">
        <f>VLOOKUP(3,BQ22:BX25,3,FALSE)</f>
        <v>0</v>
      </c>
      <c r="AE22" s="35">
        <f>VLOOKUP(3,BQ22:BX25,4,FALSE)</f>
        <v>0</v>
      </c>
      <c r="AF22" s="35">
        <f>VLOOKUP(3,BQ22:BX25,5,FALSE)</f>
        <v>0</v>
      </c>
      <c r="AG22" s="35" t="str">
        <f>CONCATENATE(VLOOKUP(3,BQ22:BX25,6,FALSE)," - ",VLOOKUP(3,BQ22:BX25,7,FALSE))</f>
        <v>0 - 0</v>
      </c>
      <c r="AH22" s="36">
        <f>VLOOKUP(3,BQ22:BX25,8,FALSE)</f>
        <v>0</v>
      </c>
      <c r="AI22" s="26"/>
      <c r="AJ22" s="13"/>
      <c r="AK22" s="7"/>
      <c r="AL22" s="7"/>
      <c r="AM22" s="7"/>
      <c r="AN22" s="7"/>
      <c r="AO22" s="7"/>
      <c r="AP22" s="11"/>
      <c r="AQ22" s="11"/>
      <c r="AR22" s="11"/>
      <c r="AS22" s="11"/>
      <c r="AT22" s="11"/>
      <c r="AU22" s="17"/>
      <c r="AV22" s="7"/>
      <c r="AW22" s="90" t="s">
        <v>51</v>
      </c>
      <c r="AX22" s="91"/>
      <c r="AY22" s="91"/>
      <c r="AZ22" s="91"/>
      <c r="BA22" s="91"/>
      <c r="BB22" s="91"/>
      <c r="BC22" s="2"/>
      <c r="BD22" s="92" t="s">
        <v>31</v>
      </c>
      <c r="BE22" s="92"/>
      <c r="BF22" s="92"/>
      <c r="BG22" s="2"/>
      <c r="BH22" s="5" t="s">
        <v>13</v>
      </c>
      <c r="BI22" s="21"/>
      <c r="BJ22" s="7"/>
      <c r="BK22" s="26"/>
      <c r="BL22" s="26"/>
      <c r="BM22" s="26"/>
      <c r="BN22" s="26"/>
      <c r="BO22" s="26"/>
      <c r="BP22" s="12"/>
      <c r="BQ22" s="22">
        <f>IF(BY22&gt;BY22,1,0)+IF(BY22&gt;BY23,1,0)+IF(BY22&gt;BY24,1,0)+IF(BY22&gt;BY25,1,0)+1</f>
        <v>4</v>
      </c>
      <c r="BR22" s="31" t="s">
        <v>44</v>
      </c>
      <c r="BS22" s="32">
        <f>COUNTIF($X$20:$Z$25,CONCATENATE(BR22,"_win"))</f>
        <v>0</v>
      </c>
      <c r="BT22" s="32">
        <f>COUNTIF($X$20:$Z$25,CONCATENATE(BR22,"_draw"))</f>
        <v>0</v>
      </c>
      <c r="BU22" s="32">
        <f>COUNTIF($X$20:$Z$25,CONCATENATE(BR22,"_lose"))</f>
        <v>0</v>
      </c>
      <c r="BV22" s="32">
        <f>SUMIF($T$20:$T$25,CONCATENATE("=",BR22),$U$20:$U$25)+SUMIF($P$20:$P$25,CONCATENATE("=",BR22),$Q$20:$Q$25)</f>
        <v>0</v>
      </c>
      <c r="BW22" s="32">
        <f>SUMIF($V$20:$V$25,CONCATENATE("=",BR22),$W$20:$W$25)+SUMIF($R$20:$R$25,CONCATENATE("=",BR22),$S$20:$S$25)</f>
        <v>0</v>
      </c>
      <c r="BX22" s="32">
        <f>BS22*3+BT22</f>
        <v>0</v>
      </c>
      <c r="BY22" s="32">
        <f>0.4+BV22+(BV22-BW22)*100+BS22*1000+BX22*10000</f>
        <v>0.4</v>
      </c>
      <c r="BZ22" s="12"/>
      <c r="CA22" s="31" t="str">
        <f>IF(SUM(BS22:BU25)=12,AC21,"Sieger Gruppe C")</f>
        <v>Sieger Gruppe C</v>
      </c>
      <c r="CB22" s="33" t="str">
        <f>IF(BD7="","",IF(BD7="","",IF(BD7&gt;BF7,AZ7,IF(BD7&lt;BF7,BB7,""))))</f>
        <v/>
      </c>
      <c r="CC22" s="8" t="str">
        <f>IF(CB22="","Sieger 1. Viertelfinale",CB22)</f>
        <v>Sieger 1. Viertelfinale</v>
      </c>
    </row>
    <row r="23" spans="1:81" ht="13.5" customHeight="1" x14ac:dyDescent="0.25">
      <c r="A23" s="13"/>
      <c r="B23" s="7" t="s">
        <v>50</v>
      </c>
      <c r="C23" s="7" t="s">
        <v>43</v>
      </c>
      <c r="D23" s="11" t="s">
        <v>9</v>
      </c>
      <c r="E23" s="7" t="s">
        <v>47</v>
      </c>
      <c r="F23" s="14">
        <f>[1]Ergebniss!G23</f>
        <v>0</v>
      </c>
      <c r="G23" s="15" t="s">
        <v>11</v>
      </c>
      <c r="H23" s="14">
        <f>[1]Ergebniss!I23</f>
        <v>0</v>
      </c>
      <c r="I23" s="11"/>
      <c r="J23" s="88"/>
      <c r="K23" s="15" t="s">
        <v>11</v>
      </c>
      <c r="L23" s="88"/>
      <c r="M23" s="16" t="str">
        <f>IF(OR(ISBLANK([1]Ergebniss!I23)),"",
IF(AND(L23=$H23,$F23=J23),3,IF(L23-J23=$H23-$F23,2,
IF(OR(AND($F23&lt;$H23,J23&lt;L23),AND($F23&gt;$H23,J23&gt;L23)),1,0))))</f>
        <v/>
      </c>
      <c r="N23" s="17"/>
      <c r="O23" s="7"/>
      <c r="P23" s="18" t="str">
        <f t="shared" si="20"/>
        <v>Frankreich</v>
      </c>
      <c r="Q23" s="18">
        <f t="shared" si="21"/>
        <v>0</v>
      </c>
      <c r="R23" s="18" t="str">
        <f t="shared" si="22"/>
        <v>Frankreich</v>
      </c>
      <c r="S23" s="18">
        <f t="shared" si="18"/>
        <v>0</v>
      </c>
      <c r="T23" s="18" t="str">
        <f t="shared" si="23"/>
        <v>Peru</v>
      </c>
      <c r="U23" s="19">
        <f t="shared" si="19"/>
        <v>0</v>
      </c>
      <c r="V23" s="19" t="str">
        <f t="shared" si="24"/>
        <v>Peru</v>
      </c>
      <c r="W23" s="19">
        <f t="shared" si="25"/>
        <v>0</v>
      </c>
      <c r="X23" s="19" t="str">
        <f t="shared" si="26"/>
        <v/>
      </c>
      <c r="Y23" s="19" t="str">
        <f t="shared" si="27"/>
        <v/>
      </c>
      <c r="Z23" s="19"/>
      <c r="AC23" s="38" t="str">
        <f>VLOOKUP(2,BQ22:BX25,2,FALSE)</f>
        <v>Frankreich</v>
      </c>
      <c r="AD23" s="26">
        <f>VLOOKUP(2,BQ22:BX25,3,FALSE)</f>
        <v>0</v>
      </c>
      <c r="AE23" s="26">
        <f>VLOOKUP(2,BQ22:BX25,4,FALSE)</f>
        <v>0</v>
      </c>
      <c r="AF23" s="26">
        <f>VLOOKUP(2,BQ22:BX25,5,FALSE)</f>
        <v>0</v>
      </c>
      <c r="AG23" s="26" t="str">
        <f>CONCATENATE(VLOOKUP(2,BQ22:BX25,6,FALSE)," - ",VLOOKUP(2,BQ22:BX25,7,FALSE))</f>
        <v>0 - 0</v>
      </c>
      <c r="AH23" s="39">
        <f>VLOOKUP(2,BQ22:BX25,8,FALSE)</f>
        <v>0</v>
      </c>
      <c r="AI23" s="26"/>
      <c r="AJ23" s="99" t="s">
        <v>52</v>
      </c>
      <c r="AK23" s="100"/>
      <c r="AL23" s="7" t="str">
        <f>[1]Ergebniss!AH21</f>
        <v>Sieger Gruppe B</v>
      </c>
      <c r="AM23" s="7" t="s">
        <v>9</v>
      </c>
      <c r="AN23" s="7" t="str">
        <f>[1]Ergebniss!AJ21</f>
        <v>Zweiter Gruppe A</v>
      </c>
      <c r="AO23" s="7"/>
      <c r="AP23" s="40"/>
      <c r="AQ23" s="40"/>
      <c r="AR23" s="40"/>
      <c r="AS23" s="11"/>
      <c r="AT23" s="29"/>
      <c r="AU23" s="17"/>
      <c r="AV23" s="7"/>
      <c r="AW23" s="49"/>
      <c r="AX23" s="96" t="s">
        <v>25</v>
      </c>
      <c r="AY23" s="96"/>
      <c r="AZ23" s="59" t="str">
        <f>CC15</f>
        <v>Sieger 7. Achtelfinale</v>
      </c>
      <c r="BA23" s="7" t="s">
        <v>9</v>
      </c>
      <c r="BB23" s="27" t="str">
        <f>CC16</f>
        <v>Sieger 8. Achtelfinale</v>
      </c>
      <c r="BC23" s="7"/>
      <c r="BD23" s="87"/>
      <c r="BE23" s="15" t="s">
        <v>11</v>
      </c>
      <c r="BF23" s="87"/>
      <c r="BG23" s="11"/>
      <c r="BH23" s="29"/>
      <c r="BI23" s="30"/>
      <c r="BJ23" s="7"/>
      <c r="BK23" s="26"/>
      <c r="BL23" s="26"/>
      <c r="BM23" s="26"/>
      <c r="BN23" s="26"/>
      <c r="BO23" s="26"/>
      <c r="BP23" s="12"/>
      <c r="BQ23" s="22">
        <f>IF(BY23&gt;BY22,1,0)+IF(BY23&gt;BY23,1,0)+IF(BY23&gt;BY24,1,0)+IF(BY23&gt;BY25,1,0)+1</f>
        <v>3</v>
      </c>
      <c r="BR23" s="31" t="s">
        <v>48</v>
      </c>
      <c r="BS23" s="32">
        <f>COUNTIF($X$20:$Z$25,CONCATENATE(BR23,"_win"))</f>
        <v>0</v>
      </c>
      <c r="BT23" s="32">
        <f>COUNTIF($X$20:$Z$25,CONCATENATE(BR23,"_draw"))</f>
        <v>0</v>
      </c>
      <c r="BU23" s="32">
        <f>COUNTIF($X$20:$Z$25,CONCATENATE(BR23,"_lose"))</f>
        <v>0</v>
      </c>
      <c r="BV23" s="32">
        <f>SUMIF($T$20:$T$25,CONCATENATE("=",BR23),$U$20:$U$25)+SUMIF($P$20:$P$25,CONCATENATE("=",BR23),$Q$20:$Q$25)</f>
        <v>0</v>
      </c>
      <c r="BW23" s="32">
        <f>SUMIF($V$20:$V$25,CONCATENATE("=",BR23),$W$20:$W$25)+SUMIF($R$20:$R$25,CONCATENATE("=",BR23),$S$20:$S$25)</f>
        <v>0</v>
      </c>
      <c r="BX23" s="32">
        <f>BS23*3+BT23</f>
        <v>0</v>
      </c>
      <c r="BY23" s="32">
        <f>0.3+BV23+(BV23-BW23)*100+BS23*1000+BX23*10000</f>
        <v>0.3</v>
      </c>
      <c r="BZ23" s="12"/>
      <c r="CA23" s="31" t="str">
        <f>IF(SUM(BS22:BU25)=12,AC22,"Zweiter Gruppe C")</f>
        <v>Zweiter Gruppe C</v>
      </c>
      <c r="CB23" s="7" t="str">
        <f>IF(BD15="","",IF(BD15="","",IF(BD15&gt;BF15,AZ15,IF(BD15&lt;BF15,BB15,""))))</f>
        <v/>
      </c>
      <c r="CC23" s="7" t="str">
        <f>IF(CB23="","Sieger 2. Viertelfinale",CB23)</f>
        <v>Sieger 2. Viertelfinale</v>
      </c>
    </row>
    <row r="24" spans="1:81" ht="13.5" customHeight="1" thickBot="1" x14ac:dyDescent="0.3">
      <c r="A24" s="13"/>
      <c r="B24" s="7" t="s">
        <v>53</v>
      </c>
      <c r="C24" s="7" t="s">
        <v>48</v>
      </c>
      <c r="D24" s="11" t="s">
        <v>9</v>
      </c>
      <c r="E24" s="7" t="s">
        <v>43</v>
      </c>
      <c r="F24" s="14">
        <f>[1]Ergebniss!G24</f>
        <v>0</v>
      </c>
      <c r="G24" s="15" t="s">
        <v>11</v>
      </c>
      <c r="H24" s="14">
        <f>[1]Ergebniss!I24</f>
        <v>0</v>
      </c>
      <c r="I24" s="11"/>
      <c r="J24" s="87"/>
      <c r="K24" s="15" t="s">
        <v>11</v>
      </c>
      <c r="L24" s="88"/>
      <c r="M24" s="16" t="str">
        <f>IF(OR(ISBLANK([1]Ergebniss!I24)),"",
IF(AND(L24=$H24,$F24=J24),3,IF(L24-J24=$H24-$F24,2,
IF(OR(AND($F24&lt;$H24,J24&lt;L24),AND($F24&gt;$H24,J24&gt;L24)),1,0))))</f>
        <v/>
      </c>
      <c r="N24" s="17"/>
      <c r="O24" s="7"/>
      <c r="P24" s="18" t="str">
        <f t="shared" si="20"/>
        <v>Dänemark</v>
      </c>
      <c r="Q24" s="18">
        <f t="shared" si="21"/>
        <v>0</v>
      </c>
      <c r="R24" s="18" t="str">
        <f t="shared" si="22"/>
        <v>Dänemark</v>
      </c>
      <c r="S24" s="18">
        <f t="shared" si="18"/>
        <v>0</v>
      </c>
      <c r="T24" s="18" t="str">
        <f t="shared" si="23"/>
        <v>Frankreich</v>
      </c>
      <c r="U24" s="19">
        <f t="shared" si="19"/>
        <v>0</v>
      </c>
      <c r="V24" s="19" t="str">
        <f t="shared" si="24"/>
        <v>Frankreich</v>
      </c>
      <c r="W24" s="19">
        <f t="shared" si="25"/>
        <v>0</v>
      </c>
      <c r="X24" s="19" t="str">
        <f t="shared" si="26"/>
        <v/>
      </c>
      <c r="Y24" s="19" t="str">
        <f t="shared" si="27"/>
        <v/>
      </c>
      <c r="Z24" s="19"/>
      <c r="AC24" s="41" t="str">
        <f>VLOOKUP(1,BQ22:BX25,2,FALSE)</f>
        <v>Peru</v>
      </c>
      <c r="AD24" s="42">
        <f>VLOOKUP(1,BQ22:BX25,3,FALSE)</f>
        <v>0</v>
      </c>
      <c r="AE24" s="42">
        <f>VLOOKUP(1,BQ22:BX25,4,FALSE)</f>
        <v>0</v>
      </c>
      <c r="AF24" s="42">
        <f>VLOOKUP(1,BQ22:BX25,5,FALSE)</f>
        <v>0</v>
      </c>
      <c r="AG24" s="42" t="str">
        <f>CONCATENATE(VLOOKUP(1,BQ22:BX25,6,FALSE)," - ",VLOOKUP(1,BQ22:BX25,7,FALSE))</f>
        <v>0 - 0</v>
      </c>
      <c r="AH24" s="43">
        <f>VLOOKUP(1,BQ22:BX25,8,FALSE)</f>
        <v>0</v>
      </c>
      <c r="AI24" s="26"/>
      <c r="AJ24" s="44"/>
      <c r="AK24" s="45"/>
      <c r="AL24" s="45"/>
      <c r="AM24" s="45"/>
      <c r="AN24" s="45"/>
      <c r="AO24" s="45"/>
      <c r="AP24" s="46"/>
      <c r="AQ24" s="46"/>
      <c r="AR24" s="46"/>
      <c r="AS24" s="46"/>
      <c r="AT24" s="46"/>
      <c r="AU24" s="47"/>
      <c r="AW24" s="13"/>
      <c r="AX24" s="7"/>
      <c r="AY24" s="7"/>
      <c r="AZ24" s="33"/>
      <c r="BA24" s="7"/>
      <c r="BB24" s="7"/>
      <c r="BC24" s="7"/>
      <c r="BD24" s="11"/>
      <c r="BE24" s="7"/>
      <c r="BF24" s="11"/>
      <c r="BG24" s="7"/>
      <c r="BH24" s="11"/>
      <c r="BI24" s="17"/>
      <c r="BJ24" s="7"/>
      <c r="BK24" s="26"/>
      <c r="BL24" s="26"/>
      <c r="BM24" s="26"/>
      <c r="BN24" s="26"/>
      <c r="BO24" s="26"/>
      <c r="BP24" s="12"/>
      <c r="BQ24" s="22">
        <f>IF(BY24&gt;BY22,1,0)+IF(BY24&gt;BY23,1,0)+IF(BY24&gt;BY24,1,0)+IF(BY24&gt;BY25,1,0)+1</f>
        <v>2</v>
      </c>
      <c r="BR24" s="31" t="s">
        <v>43</v>
      </c>
      <c r="BS24" s="32">
        <f>COUNTIF($X$20:$Z$25,CONCATENATE(BR24,"_win"))</f>
        <v>0</v>
      </c>
      <c r="BT24" s="32">
        <f>COUNTIF($X$20:$Z$25,CONCATENATE(BR24,"_draw"))</f>
        <v>0</v>
      </c>
      <c r="BU24" s="32">
        <f>COUNTIF($X$20:$Z$25,CONCATENATE(BR24,"_lose"))</f>
        <v>0</v>
      </c>
      <c r="BV24" s="32">
        <f>SUMIF($T$20:$T$25,CONCATENATE("=",BR24),$U$20:$U$25)+SUMIF($P$20:$P$25,CONCATENATE("=",BR24),$Q$20:$Q$25)</f>
        <v>0</v>
      </c>
      <c r="BW24" s="32">
        <f>SUMIF($V$20:$V$25,CONCATENATE("=",BR24),$W$20:$W$25)+SUMIF($R$20:$R$25,CONCATENATE("=",BR24),$S$20:$S$25)</f>
        <v>0</v>
      </c>
      <c r="BX24" s="32">
        <f>BS24*3+BT24</f>
        <v>0</v>
      </c>
      <c r="BY24" s="32">
        <f>0.2+BV24+(BV24-BW24)*100+BS24*1000+BX24*10000</f>
        <v>0.2</v>
      </c>
      <c r="BZ24" s="12"/>
      <c r="CA24" s="12"/>
      <c r="CB24" s="7" t="str">
        <f>IF(BD23="","",IF(BF23="","",IF(BD23&gt;BF23,AZ23,IF(BD23&lt;BF23,BB23,""))))</f>
        <v/>
      </c>
      <c r="CC24" s="7" t="str">
        <f>IF(CB24="","Sieger 3. Viertelfinale",CB24)</f>
        <v>Sieger 3. Viertelfinale</v>
      </c>
    </row>
    <row r="25" spans="1:81" ht="13.5" customHeight="1" x14ac:dyDescent="0.25">
      <c r="A25" s="13"/>
      <c r="B25" s="7" t="s">
        <v>53</v>
      </c>
      <c r="C25" s="7" t="s">
        <v>44</v>
      </c>
      <c r="D25" s="11" t="s">
        <v>9</v>
      </c>
      <c r="E25" s="7" t="s">
        <v>47</v>
      </c>
      <c r="F25" s="14">
        <f>[1]Ergebniss!G25</f>
        <v>0</v>
      </c>
      <c r="G25" s="15" t="s">
        <v>11</v>
      </c>
      <c r="H25" s="14">
        <f>[1]Ergebniss!I25</f>
        <v>0</v>
      </c>
      <c r="I25" s="11"/>
      <c r="J25" s="87"/>
      <c r="K25" s="15" t="s">
        <v>11</v>
      </c>
      <c r="L25" s="88"/>
      <c r="M25" s="16" t="str">
        <f>IF(OR(ISBLANK([1]Ergebniss!I25)),"",
IF(AND(L25=$H25,$F25=J25),3,IF(L25-J25=$H25-$F25,2,
IF(OR(AND($F25&lt;$H25,J25&lt;L25),AND($F25&gt;$H25,J25&gt;L25)),1,0))))</f>
        <v/>
      </c>
      <c r="N25" s="17"/>
      <c r="O25" s="7"/>
      <c r="P25" s="18" t="str">
        <f t="shared" si="20"/>
        <v>Australien</v>
      </c>
      <c r="Q25" s="18">
        <f t="shared" si="21"/>
        <v>0</v>
      </c>
      <c r="R25" s="18" t="str">
        <f t="shared" si="22"/>
        <v>Australien</v>
      </c>
      <c r="S25" s="18">
        <f t="shared" si="18"/>
        <v>0</v>
      </c>
      <c r="T25" s="18" t="str">
        <f t="shared" si="23"/>
        <v>Peru</v>
      </c>
      <c r="U25" s="19">
        <f t="shared" si="19"/>
        <v>0</v>
      </c>
      <c r="V25" s="19" t="str">
        <f t="shared" si="24"/>
        <v>Peru</v>
      </c>
      <c r="W25" s="19">
        <f t="shared" si="25"/>
        <v>0</v>
      </c>
      <c r="X25" s="19" t="str">
        <f t="shared" si="26"/>
        <v/>
      </c>
      <c r="Y25" s="19" t="str">
        <f t="shared" si="27"/>
        <v/>
      </c>
      <c r="Z25" s="19"/>
      <c r="AA25" s="11"/>
      <c r="AC25" s="8"/>
      <c r="AD25" s="8"/>
      <c r="AE25" s="8"/>
      <c r="AF25" s="8"/>
      <c r="AG25" s="8"/>
      <c r="AH25" s="8"/>
      <c r="AI25" s="8"/>
      <c r="AW25" s="13"/>
      <c r="AX25" s="100" t="s">
        <v>54</v>
      </c>
      <c r="AY25" s="100"/>
      <c r="AZ25" s="109" t="str">
        <f>[1]Ergebniss!AT23</f>
        <v>Sieger 7. Achtelfinale</v>
      </c>
      <c r="BA25" s="100" t="s">
        <v>9</v>
      </c>
      <c r="BB25" s="111" t="str">
        <f>[1]Ergebniss!AV23</f>
        <v>Sieger 8. Achtelfinale</v>
      </c>
      <c r="BC25" s="7"/>
      <c r="BD25" s="101">
        <v>4</v>
      </c>
      <c r="BE25" s="101" t="s">
        <v>11</v>
      </c>
      <c r="BF25" s="101">
        <v>0</v>
      </c>
      <c r="BG25" s="11"/>
      <c r="BH25" s="29"/>
      <c r="BI25" s="17"/>
      <c r="BJ25" s="7"/>
      <c r="BK25" s="8"/>
      <c r="BL25" s="8"/>
      <c r="BM25" s="8"/>
      <c r="BN25" s="8"/>
      <c r="BO25" s="8"/>
      <c r="BP25" s="12"/>
      <c r="BQ25" s="22">
        <f>IF(BY25&gt;BY22,1,0)+IF(BY25&gt;BY23,1,0)+IF(BY25&gt;BY24,1,0)+IF(BY25&gt;BY25,1,0)+1</f>
        <v>1</v>
      </c>
      <c r="BR25" s="31" t="s">
        <v>47</v>
      </c>
      <c r="BS25" s="32">
        <f>COUNTIF($X$20:$Z$25,CONCATENATE(BR25,"_win"))</f>
        <v>0</v>
      </c>
      <c r="BT25" s="32">
        <f>COUNTIF($X$20:$Z$25,CONCATENATE(BR25,"_draw"))</f>
        <v>0</v>
      </c>
      <c r="BU25" s="32">
        <f>COUNTIF($X$20:$Z$25,CONCATENATE(BR25,"_lose"))</f>
        <v>0</v>
      </c>
      <c r="BV25" s="32">
        <f>SUMIF($T$20:$T$25,CONCATENATE("=",BR25),$U$20:$U$25)+SUMIF($P$20:$P$25,CONCATENATE("=",BR25),$Q$20:$Q$25)</f>
        <v>0</v>
      </c>
      <c r="BW25" s="32">
        <f>SUMIF($V$20:$V$25,CONCATENATE("=",BR25),$W$20:$W$25)+SUMIF($R$20:$R$25,CONCATENATE("=",BR25),$S$20:$S$25)</f>
        <v>0</v>
      </c>
      <c r="BX25" s="32">
        <f>BS25*3+BT25</f>
        <v>0</v>
      </c>
      <c r="BY25" s="32">
        <f>0.1+BV25+(BV25-BW25)*100+BS25*1000+BX25*10000</f>
        <v>0.1</v>
      </c>
      <c r="BZ25" s="12"/>
      <c r="CA25" s="12"/>
      <c r="CB25" s="7" t="str">
        <f>IF(BD31="","",IF(BD31="","",IF(BD31&gt;BF31,AZ31,IF(BD31&lt;BF31,BB31,""))))</f>
        <v/>
      </c>
      <c r="CC25" s="7" t="str">
        <f>IF(CB25="","Sieger 4. Viertelfinale",CB25)</f>
        <v>Sieger 4. Viertelfinale</v>
      </c>
    </row>
    <row r="26" spans="1:81" ht="7.5" customHeight="1" thickBot="1" x14ac:dyDescent="0.3">
      <c r="A26" s="44"/>
      <c r="B26" s="45"/>
      <c r="C26" s="45"/>
      <c r="D26" s="46"/>
      <c r="E26" s="45"/>
      <c r="F26" s="14"/>
      <c r="G26" s="15"/>
      <c r="H26" s="14"/>
      <c r="I26" s="46"/>
      <c r="J26" s="61"/>
      <c r="K26" s="61"/>
      <c r="L26" s="61"/>
      <c r="M26" s="16"/>
      <c r="N26" s="47"/>
      <c r="O26" s="7"/>
      <c r="P26" s="18"/>
      <c r="Q26" s="18"/>
      <c r="R26" s="18"/>
      <c r="S26" s="18"/>
      <c r="T26" s="18"/>
      <c r="U26" s="19"/>
      <c r="V26" s="19"/>
      <c r="W26" s="19"/>
      <c r="X26" s="19"/>
      <c r="Y26" s="19"/>
      <c r="Z26" s="19"/>
      <c r="AA26" s="11"/>
      <c r="AC26" s="8"/>
      <c r="AD26" s="8"/>
      <c r="AE26" s="8"/>
      <c r="AF26" s="8"/>
      <c r="AG26" s="8"/>
      <c r="AH26" s="8"/>
      <c r="AI26" s="8"/>
      <c r="AW26" s="13"/>
      <c r="AX26" s="100"/>
      <c r="AY26" s="100"/>
      <c r="AZ26" s="109"/>
      <c r="BA26" s="100"/>
      <c r="BB26" s="111"/>
      <c r="BC26" s="7"/>
      <c r="BD26" s="101"/>
      <c r="BE26" s="101"/>
      <c r="BF26" s="101"/>
      <c r="BG26" s="11"/>
      <c r="BH26" s="11"/>
      <c r="BI26" s="17"/>
      <c r="BJ26" s="7"/>
      <c r="BK26" s="8"/>
      <c r="BL26" s="8"/>
      <c r="BM26" s="8"/>
      <c r="BN26" s="8"/>
      <c r="BO26" s="8"/>
      <c r="BP26" s="12"/>
      <c r="BQ26" s="22"/>
      <c r="BR26" s="31"/>
      <c r="BS26" s="32"/>
      <c r="BT26" s="32"/>
      <c r="BU26" s="32"/>
      <c r="BV26" s="32"/>
      <c r="BW26" s="32"/>
      <c r="BX26" s="32"/>
      <c r="BY26" s="32"/>
      <c r="BZ26" s="12"/>
      <c r="CA26" s="12"/>
    </row>
    <row r="27" spans="1:81" ht="12.75" customHeight="1" thickBot="1" x14ac:dyDescent="0.3">
      <c r="F27" s="52"/>
      <c r="G27" s="52"/>
      <c r="H27" s="52"/>
      <c r="I27" s="53"/>
      <c r="J27" s="54"/>
      <c r="K27" s="54"/>
      <c r="L27" s="54"/>
      <c r="M27" s="55" t="s">
        <v>32</v>
      </c>
      <c r="P27" s="18"/>
      <c r="Q27" s="18"/>
      <c r="R27" s="18"/>
      <c r="S27" s="18"/>
      <c r="T27" s="18"/>
      <c r="U27" s="19"/>
      <c r="V27" s="19"/>
      <c r="W27" s="19"/>
      <c r="X27" s="19"/>
      <c r="Y27" s="19"/>
      <c r="Z27" s="19"/>
      <c r="AA27" s="65"/>
      <c r="AW27" s="44"/>
      <c r="AX27" s="45"/>
      <c r="AY27" s="45"/>
      <c r="AZ27" s="58"/>
      <c r="BA27" s="45"/>
      <c r="BB27" s="45"/>
      <c r="BC27" s="45"/>
      <c r="BD27" s="46"/>
      <c r="BE27" s="46"/>
      <c r="BF27" s="46"/>
      <c r="BG27" s="46"/>
      <c r="BH27" s="46"/>
      <c r="BI27" s="47"/>
      <c r="BJ27" s="7"/>
    </row>
    <row r="28" spans="1:81" ht="13.5" customHeight="1" thickBot="1" x14ac:dyDescent="0.25">
      <c r="A28" s="1"/>
      <c r="B28" s="2" t="s">
        <v>55</v>
      </c>
      <c r="C28" s="3"/>
      <c r="D28" s="4"/>
      <c r="E28" s="3"/>
      <c r="F28" s="102" t="s">
        <v>1</v>
      </c>
      <c r="G28" s="102"/>
      <c r="H28" s="102"/>
      <c r="I28" s="5"/>
      <c r="J28" s="92"/>
      <c r="K28" s="92"/>
      <c r="L28" s="92"/>
      <c r="M28" s="5" t="s">
        <v>2</v>
      </c>
      <c r="N28" s="6"/>
      <c r="O28" s="7"/>
      <c r="P28" s="18"/>
      <c r="Q28" s="18"/>
      <c r="R28" s="18"/>
      <c r="S28" s="18"/>
      <c r="T28" s="18"/>
      <c r="U28" s="19"/>
      <c r="V28" s="19"/>
      <c r="W28" s="19"/>
      <c r="X28" s="19"/>
      <c r="Y28" s="19"/>
      <c r="Z28" s="19"/>
      <c r="AC28" s="103" t="s">
        <v>55</v>
      </c>
      <c r="AD28" s="105" t="s">
        <v>3</v>
      </c>
      <c r="AE28" s="105" t="s">
        <v>4</v>
      </c>
      <c r="AF28" s="105" t="s">
        <v>5</v>
      </c>
      <c r="AG28" s="105" t="s">
        <v>6</v>
      </c>
      <c r="AH28" s="107" t="s">
        <v>2</v>
      </c>
      <c r="AI28" s="9"/>
      <c r="AV28" s="7"/>
      <c r="BE28" s="8"/>
      <c r="BG28" s="8"/>
      <c r="BJ28" s="7"/>
      <c r="BK28" s="9"/>
      <c r="BL28" s="9"/>
      <c r="BM28" s="9"/>
      <c r="BN28" s="9"/>
      <c r="BO28" s="9"/>
    </row>
    <row r="29" spans="1:81" ht="12.75" customHeight="1" thickBot="1" x14ac:dyDescent="0.45">
      <c r="A29" s="13"/>
      <c r="B29" s="7" t="s">
        <v>42</v>
      </c>
      <c r="C29" s="7" t="s">
        <v>56</v>
      </c>
      <c r="D29" s="11" t="s">
        <v>9</v>
      </c>
      <c r="E29" s="7" t="s">
        <v>57</v>
      </c>
      <c r="F29" s="14">
        <f>[1]Ergebniss!G29</f>
        <v>0</v>
      </c>
      <c r="G29" s="15" t="s">
        <v>11</v>
      </c>
      <c r="H29" s="14">
        <f>[1]Ergebniss!I29</f>
        <v>0</v>
      </c>
      <c r="I29" s="11"/>
      <c r="J29" s="87"/>
      <c r="K29" s="15" t="s">
        <v>11</v>
      </c>
      <c r="L29" s="87"/>
      <c r="M29" s="16" t="str">
        <f>IF(OR(ISBLANK([1]Ergebniss!I29)),"",
IF(AND(L29=$H29,$F29=J29),3,IF(L29-J29=$H29-$F29,2,
IF(OR(AND($F29&lt;$H29,J29&lt;L29),AND($F29&gt;$H29,J29&gt;L29)),1,0))))</f>
        <v/>
      </c>
      <c r="N29" s="17"/>
      <c r="O29" s="7"/>
      <c r="P29" s="18" t="str">
        <f t="shared" ref="P29:P34" si="28">C29</f>
        <v>Argentinien</v>
      </c>
      <c r="Q29" s="18">
        <f t="shared" ref="Q29:Q34" si="29">J29</f>
        <v>0</v>
      </c>
      <c r="R29" s="18" t="str">
        <f t="shared" ref="R29:R34" si="30">C29</f>
        <v>Argentinien</v>
      </c>
      <c r="S29" s="18">
        <f t="shared" si="18"/>
        <v>0</v>
      </c>
      <c r="T29" s="18" t="str">
        <f t="shared" ref="T29:T34" si="31">E29</f>
        <v>Island</v>
      </c>
      <c r="U29" s="19">
        <f t="shared" si="19"/>
        <v>0</v>
      </c>
      <c r="V29" s="19" t="str">
        <f t="shared" ref="V29:V34" si="32">E29</f>
        <v>Island</v>
      </c>
      <c r="W29" s="19">
        <f t="shared" ref="W29:W34" si="33">J29</f>
        <v>0</v>
      </c>
      <c r="X29" s="19" t="str">
        <f t="shared" ref="X29:X34" si="34">IF(J29="","",IF(L29="","",IF(J29&gt;L29,CONCATENATE(C29,"_win"),IF(J29&lt;L29,CONCATENATE(C29,"_lose"),CONCATENATE(C29,"_draw")))))</f>
        <v/>
      </c>
      <c r="Y29" s="19" t="str">
        <f t="shared" ref="Y29:Y34" si="35">IF(J29="","",IF(L29="","",IF(J29&gt;L29,CONCATENATE(E29,"_lose"),IF(J29&lt;L29,CONCATENATE(E29,"_win"),CONCATENATE(E29,"_draw")))))</f>
        <v/>
      </c>
      <c r="Z29" s="19"/>
      <c r="AC29" s="104"/>
      <c r="AD29" s="106"/>
      <c r="AE29" s="106"/>
      <c r="AF29" s="106"/>
      <c r="AG29" s="106"/>
      <c r="AH29" s="108"/>
      <c r="AI29" s="9"/>
      <c r="AJ29" s="90" t="s">
        <v>58</v>
      </c>
      <c r="AK29" s="91"/>
      <c r="AL29" s="91"/>
      <c r="AM29" s="91"/>
      <c r="AN29" s="91"/>
      <c r="AO29" s="2"/>
      <c r="AP29" s="92"/>
      <c r="AQ29" s="92"/>
      <c r="AR29" s="92"/>
      <c r="AS29" s="2"/>
      <c r="AT29" s="20" t="s">
        <v>13</v>
      </c>
      <c r="AU29" s="21"/>
      <c r="AV29" s="7"/>
      <c r="AZ29" s="66"/>
      <c r="BA29" s="66"/>
      <c r="BB29" s="66"/>
      <c r="BC29" s="66"/>
      <c r="BD29" s="66"/>
      <c r="BE29" s="66"/>
      <c r="BF29" s="66"/>
      <c r="BG29" s="67"/>
      <c r="BH29" s="56"/>
      <c r="BJ29" s="7"/>
      <c r="BK29" s="9"/>
      <c r="BL29" s="9"/>
      <c r="BM29" s="9"/>
      <c r="BN29" s="9"/>
      <c r="BO29" s="9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62" t="s">
        <v>59</v>
      </c>
      <c r="CC29" s="62"/>
    </row>
    <row r="30" spans="1:81" ht="13.5" customHeight="1" x14ac:dyDescent="0.25">
      <c r="A30" s="13"/>
      <c r="B30" s="7" t="s">
        <v>42</v>
      </c>
      <c r="C30" s="7" t="s">
        <v>60</v>
      </c>
      <c r="D30" s="11" t="s">
        <v>9</v>
      </c>
      <c r="E30" s="7" t="s">
        <v>61</v>
      </c>
      <c r="F30" s="14">
        <f>[1]Ergebniss!G30</f>
        <v>0</v>
      </c>
      <c r="G30" s="15" t="s">
        <v>11</v>
      </c>
      <c r="H30" s="14">
        <f>[1]Ergebniss!I30</f>
        <v>0</v>
      </c>
      <c r="I30" s="11"/>
      <c r="J30" s="88"/>
      <c r="K30" s="15" t="s">
        <v>11</v>
      </c>
      <c r="L30" s="88"/>
      <c r="M30" s="16" t="str">
        <f>IF(OR(ISBLANK([1]Ergebniss!I30)),"",
IF(AND(L30=$H30,$F30=J30),3,IF(L30-J30=$H30-$F30,2,
IF(OR(AND($F30&lt;$H30,J30&lt;L30),AND($F30&gt;$H30,J30&gt;L30)),1,0))))</f>
        <v/>
      </c>
      <c r="N30" s="17"/>
      <c r="O30" s="7"/>
      <c r="P30" s="18" t="str">
        <f t="shared" si="28"/>
        <v>Kroatien</v>
      </c>
      <c r="Q30" s="18">
        <f t="shared" si="29"/>
        <v>0</v>
      </c>
      <c r="R30" s="18" t="str">
        <f t="shared" si="30"/>
        <v>Kroatien</v>
      </c>
      <c r="S30" s="18">
        <f t="shared" si="18"/>
        <v>0</v>
      </c>
      <c r="T30" s="18" t="str">
        <f t="shared" si="31"/>
        <v>Nigeria</v>
      </c>
      <c r="U30" s="19">
        <f t="shared" si="19"/>
        <v>0</v>
      </c>
      <c r="V30" s="19" t="str">
        <f t="shared" si="32"/>
        <v>Nigeria</v>
      </c>
      <c r="W30" s="19">
        <f t="shared" si="33"/>
        <v>0</v>
      </c>
      <c r="X30" s="19" t="str">
        <f t="shared" si="34"/>
        <v/>
      </c>
      <c r="Y30" s="19" t="str">
        <f t="shared" si="35"/>
        <v/>
      </c>
      <c r="Z30" s="19"/>
      <c r="AC30" s="23" t="str">
        <f>VLOOKUP(4,BQ31:BX34,2,FALSE)</f>
        <v>Argentinien</v>
      </c>
      <c r="AD30" s="24">
        <f>VLOOKUP(4,BQ31:BX34,3,FALSE)</f>
        <v>0</v>
      </c>
      <c r="AE30" s="24">
        <f>VLOOKUP(4,BQ31:BX34,4,FALSE)</f>
        <v>0</v>
      </c>
      <c r="AF30" s="24">
        <f>VLOOKUP(4,BQ31:BX34,5,FALSE)</f>
        <v>0</v>
      </c>
      <c r="AG30" s="24" t="str">
        <f>CONCATENATE(VLOOKUP(4,BQ31:BX34,6,FALSE)," - ",VLOOKUP(4,BQ31:BX34,7,FALSE))</f>
        <v>0 - 0</v>
      </c>
      <c r="AH30" s="25">
        <f>VLOOKUP(4,BQ31:BX34,8,FALSE)</f>
        <v>0</v>
      </c>
      <c r="AI30" s="26"/>
      <c r="AJ30" s="95" t="s">
        <v>25</v>
      </c>
      <c r="AK30" s="96"/>
      <c r="AL30" s="27" t="str">
        <f>CA31</f>
        <v>Sieger Gruppe D</v>
      </c>
      <c r="AM30" s="7" t="s">
        <v>9</v>
      </c>
      <c r="AN30" s="27" t="str">
        <f>CA23</f>
        <v>Zweiter Gruppe C</v>
      </c>
      <c r="AO30" s="7"/>
      <c r="AP30" s="87"/>
      <c r="AQ30" s="15" t="s">
        <v>11</v>
      </c>
      <c r="AR30" s="87"/>
      <c r="AS30" s="11"/>
      <c r="AT30" s="29"/>
      <c r="AU30" s="30"/>
      <c r="AV30" s="7"/>
      <c r="AW30" s="90" t="s">
        <v>62</v>
      </c>
      <c r="AX30" s="91"/>
      <c r="AY30" s="91"/>
      <c r="AZ30" s="91"/>
      <c r="BA30" s="91"/>
      <c r="BB30" s="91"/>
      <c r="BC30" s="2"/>
      <c r="BD30" s="92" t="s">
        <v>31</v>
      </c>
      <c r="BE30" s="92"/>
      <c r="BF30" s="92"/>
      <c r="BG30" s="2"/>
      <c r="BH30" s="5" t="s">
        <v>13</v>
      </c>
      <c r="BI30" s="21"/>
      <c r="BJ30" s="7"/>
      <c r="BK30" s="26"/>
      <c r="BL30" s="26"/>
      <c r="BM30" s="26"/>
      <c r="BN30" s="26"/>
      <c r="BO30" s="26"/>
      <c r="BP30" s="12"/>
      <c r="BQ30" s="22" t="s">
        <v>15</v>
      </c>
      <c r="BR30" s="22" t="s">
        <v>55</v>
      </c>
      <c r="BS30" s="22" t="s">
        <v>16</v>
      </c>
      <c r="BT30" s="22" t="s">
        <v>17</v>
      </c>
      <c r="BU30" s="22" t="s">
        <v>18</v>
      </c>
      <c r="BV30" s="22" t="s">
        <v>6</v>
      </c>
      <c r="BW30" s="22" t="s">
        <v>19</v>
      </c>
      <c r="BX30" s="22" t="s">
        <v>2</v>
      </c>
      <c r="BY30" s="22" t="s">
        <v>20</v>
      </c>
      <c r="BZ30" s="12"/>
      <c r="CA30" s="12"/>
      <c r="CB30" s="64" t="str">
        <f>IF(BD40="","",IF(BF40="","",IF(BD40&gt;BF40,AZ40,IF(BD40&lt;BF40,BB40,""))))</f>
        <v/>
      </c>
      <c r="CC30" s="64" t="str">
        <f>IF(CB30="","Sieger 1. Halbfinale",CB30)</f>
        <v>Sieger 1. Halbfinale</v>
      </c>
    </row>
    <row r="31" spans="1:81" ht="13.5" customHeight="1" thickBot="1" x14ac:dyDescent="0.3">
      <c r="A31" s="13"/>
      <c r="B31" s="7" t="s">
        <v>50</v>
      </c>
      <c r="C31" s="7" t="s">
        <v>56</v>
      </c>
      <c r="D31" s="11" t="s">
        <v>9</v>
      </c>
      <c r="E31" s="7" t="s">
        <v>60</v>
      </c>
      <c r="F31" s="14">
        <f>[1]Ergebniss!G31</f>
        <v>0</v>
      </c>
      <c r="G31" s="15" t="s">
        <v>11</v>
      </c>
      <c r="H31" s="14">
        <f>[1]Ergebniss!I31</f>
        <v>0</v>
      </c>
      <c r="I31" s="11"/>
      <c r="J31" s="87"/>
      <c r="K31" s="15" t="s">
        <v>11</v>
      </c>
      <c r="L31" s="88"/>
      <c r="M31" s="16" t="str">
        <f>IF(OR(ISBLANK([1]Ergebniss!I31)),"",
IF(AND(L31=$H31,$F31=J31),3,IF(L31-J31=$H31-$F31,2,
IF(OR(AND($F31&lt;$H31,J31&lt;L31),AND($F31&gt;$H31,J31&gt;L31)),1,0))))</f>
        <v/>
      </c>
      <c r="N31" s="17"/>
      <c r="O31" s="7"/>
      <c r="P31" s="18" t="str">
        <f t="shared" si="28"/>
        <v>Argentinien</v>
      </c>
      <c r="Q31" s="18">
        <f t="shared" si="29"/>
        <v>0</v>
      </c>
      <c r="R31" s="18" t="str">
        <f t="shared" si="30"/>
        <v>Argentinien</v>
      </c>
      <c r="S31" s="18">
        <f t="shared" si="18"/>
        <v>0</v>
      </c>
      <c r="T31" s="18" t="str">
        <f t="shared" si="31"/>
        <v>Kroatien</v>
      </c>
      <c r="U31" s="19">
        <f t="shared" si="19"/>
        <v>0</v>
      </c>
      <c r="V31" s="19" t="str">
        <f t="shared" si="32"/>
        <v>Kroatien</v>
      </c>
      <c r="W31" s="19">
        <f t="shared" si="33"/>
        <v>0</v>
      </c>
      <c r="X31" s="19" t="str">
        <f t="shared" si="34"/>
        <v/>
      </c>
      <c r="Y31" s="19" t="str">
        <f t="shared" si="35"/>
        <v/>
      </c>
      <c r="Z31" s="19"/>
      <c r="AC31" s="34" t="str">
        <f>VLOOKUP(3,BQ31:BX34,2,FALSE)</f>
        <v>Island</v>
      </c>
      <c r="AD31" s="35">
        <f>VLOOKUP(3,BQ31:BX34,3,FALSE)</f>
        <v>0</v>
      </c>
      <c r="AE31" s="35">
        <f>VLOOKUP(3,BQ31:BX34,4,FALSE)</f>
        <v>0</v>
      </c>
      <c r="AF31" s="35">
        <f>VLOOKUP(3,BQ31:BX34,5,FALSE)</f>
        <v>0</v>
      </c>
      <c r="AG31" s="35" t="str">
        <f>CONCATENATE(VLOOKUP(3,BQ31:BX34,6,FALSE)," - ",VLOOKUP(3,BQ31:BX34,7,FALSE))</f>
        <v>0 - 0</v>
      </c>
      <c r="AH31" s="36">
        <f>VLOOKUP(3,BQ31:BX34,8,FALSE)</f>
        <v>0</v>
      </c>
      <c r="AI31" s="26"/>
      <c r="AJ31" s="13"/>
      <c r="AK31" s="7"/>
      <c r="AL31" s="7"/>
      <c r="AM31" s="7"/>
      <c r="AN31" s="7"/>
      <c r="AO31" s="7"/>
      <c r="AP31" s="11"/>
      <c r="AQ31" s="11"/>
      <c r="AR31" s="11"/>
      <c r="AS31" s="11"/>
      <c r="AT31" s="11"/>
      <c r="AU31" s="17"/>
      <c r="AV31" s="7"/>
      <c r="AW31" s="49"/>
      <c r="AX31" s="96" t="s">
        <v>25</v>
      </c>
      <c r="AY31" s="96"/>
      <c r="AZ31" s="27" t="str">
        <f>CC5</f>
        <v>Sieger 3. Achtelfinale</v>
      </c>
      <c r="BA31" s="7" t="s">
        <v>9</v>
      </c>
      <c r="BB31" s="27" t="str">
        <f>CC6</f>
        <v>Sieger 4. Achtelfinale</v>
      </c>
      <c r="BC31" s="7"/>
      <c r="BD31" s="87"/>
      <c r="BE31" s="15" t="s">
        <v>11</v>
      </c>
      <c r="BF31" s="87"/>
      <c r="BG31" s="11"/>
      <c r="BH31" s="29"/>
      <c r="BI31" s="30"/>
      <c r="BJ31" s="7"/>
      <c r="BK31" s="26"/>
      <c r="BL31" s="26"/>
      <c r="BM31" s="26"/>
      <c r="BN31" s="26"/>
      <c r="BO31" s="26"/>
      <c r="BP31" s="12"/>
      <c r="BQ31" s="22">
        <f>IF(BY31&gt;BY31,1,0)+IF(BY31&gt;BY32,1,0)+IF(BY31&gt;BY33,1,0)+IF(BY31&gt;BY34,1,0)+1</f>
        <v>4</v>
      </c>
      <c r="BR31" s="31" t="s">
        <v>56</v>
      </c>
      <c r="BS31" s="32">
        <f>COUNTIF($X$29:$Z$34,CONCATENATE(BR31,"_win"))</f>
        <v>0</v>
      </c>
      <c r="BT31" s="32">
        <f>COUNTIF($X$29:$Z$34,CONCATENATE(BR31,"_draw"))</f>
        <v>0</v>
      </c>
      <c r="BU31" s="32">
        <f>COUNTIF($X$29:$Z$34,CONCATENATE(BR31,"_lose"))</f>
        <v>0</v>
      </c>
      <c r="BV31" s="32">
        <f>SUMIF($T$29:$T$34,CONCATENATE("=",BR31),$U$29:$U$34)+SUMIF($P$29:$P$34,CONCATENATE("=",BR31),$Q$29:$Q$34)</f>
        <v>0</v>
      </c>
      <c r="BW31" s="32">
        <f>SUMIF($V$29:$V$34,CONCATENATE("=",BR31),$W$29:$W$34)+SUMIF($R$29:$R$34,CONCATENATE("=",BR31),$S$29:$S$34)</f>
        <v>0</v>
      </c>
      <c r="BX31" s="32">
        <f>BS31*3+BT31</f>
        <v>0</v>
      </c>
      <c r="BY31" s="32">
        <f>0.4+BV31+(BV31-BW31)*100+BS31*1000+BX31*10000</f>
        <v>0.4</v>
      </c>
      <c r="BZ31" s="12"/>
      <c r="CA31" s="31" t="str">
        <f>IF(SUM(BS31:BU34)=12,AC30,"Sieger Gruppe D")</f>
        <v>Sieger Gruppe D</v>
      </c>
      <c r="CB31" s="64" t="str">
        <f>IF(BD49="","",IF(BD49="","",IF(BD49&gt;BF49,AZ49,IF(BD49&lt;BF49,BB49,""))))</f>
        <v/>
      </c>
      <c r="CC31" s="64" t="str">
        <f>IF(CB31="","Sieger 2. Halbfinale",CB31)</f>
        <v>Sieger 2. Halbfinale</v>
      </c>
    </row>
    <row r="32" spans="1:81" ht="13.5" customHeight="1" x14ac:dyDescent="0.25">
      <c r="A32" s="13"/>
      <c r="B32" s="7" t="s">
        <v>63</v>
      </c>
      <c r="C32" s="7" t="s">
        <v>61</v>
      </c>
      <c r="D32" s="11" t="s">
        <v>9</v>
      </c>
      <c r="E32" s="7" t="s">
        <v>57</v>
      </c>
      <c r="F32" s="14">
        <f>[1]Ergebniss!G32</f>
        <v>0</v>
      </c>
      <c r="G32" s="15" t="s">
        <v>11</v>
      </c>
      <c r="H32" s="14">
        <f>[1]Ergebniss!I32</f>
        <v>0</v>
      </c>
      <c r="I32" s="11"/>
      <c r="J32" s="88"/>
      <c r="K32" s="15" t="s">
        <v>11</v>
      </c>
      <c r="L32" s="88"/>
      <c r="M32" s="16" t="str">
        <f>IF(OR(ISBLANK([1]Ergebniss!I32)),"",
IF(AND(L32=$H32,$F32=J32),3,IF(L32-J32=$H32-$F32,2,
IF(OR(AND($F32&lt;$H32,J32&lt;L32),AND($F32&gt;$H32,J32&gt;L32)),1,0))))</f>
        <v/>
      </c>
      <c r="N32" s="17"/>
      <c r="O32" s="7"/>
      <c r="P32" s="18" t="str">
        <f t="shared" si="28"/>
        <v>Nigeria</v>
      </c>
      <c r="Q32" s="18">
        <f t="shared" si="29"/>
        <v>0</v>
      </c>
      <c r="R32" s="18" t="str">
        <f t="shared" si="30"/>
        <v>Nigeria</v>
      </c>
      <c r="S32" s="18">
        <f t="shared" si="18"/>
        <v>0</v>
      </c>
      <c r="T32" s="18" t="str">
        <f t="shared" si="31"/>
        <v>Island</v>
      </c>
      <c r="U32" s="19">
        <f t="shared" si="19"/>
        <v>0</v>
      </c>
      <c r="V32" s="19" t="str">
        <f t="shared" si="32"/>
        <v>Island</v>
      </c>
      <c r="W32" s="19">
        <f t="shared" si="33"/>
        <v>0</v>
      </c>
      <c r="X32" s="19" t="str">
        <f t="shared" si="34"/>
        <v/>
      </c>
      <c r="Y32" s="19" t="str">
        <f t="shared" si="35"/>
        <v/>
      </c>
      <c r="Z32" s="19"/>
      <c r="AC32" s="38" t="str">
        <f>VLOOKUP(2,BQ31:BX34,2,FALSE)</f>
        <v>Kroatien</v>
      </c>
      <c r="AD32" s="26">
        <f>VLOOKUP(2,BQ31:BX34,3,FALSE)</f>
        <v>0</v>
      </c>
      <c r="AE32" s="26">
        <f>VLOOKUP(2,BQ31:BX34,4,FALSE)</f>
        <v>0</v>
      </c>
      <c r="AF32" s="26">
        <f>VLOOKUP(2,BQ31:BX34,5,FALSE)</f>
        <v>0</v>
      </c>
      <c r="AG32" s="26" t="str">
        <f>CONCATENATE(VLOOKUP(2,BQ31:BX34,6,FALSE)," - ",VLOOKUP(2,BQ31:BX34,7,FALSE))</f>
        <v>0 - 0</v>
      </c>
      <c r="AH32" s="39">
        <f>VLOOKUP(2,BQ31:BX34,8,FALSE)</f>
        <v>0</v>
      </c>
      <c r="AI32" s="26"/>
      <c r="AJ32" s="99" t="s">
        <v>52</v>
      </c>
      <c r="AK32" s="100"/>
      <c r="AL32" s="7" t="str">
        <f>[1]Ergebniss!AH30</f>
        <v>Sieger Gruppe D</v>
      </c>
      <c r="AM32" s="7" t="s">
        <v>9</v>
      </c>
      <c r="AN32" s="7" t="str">
        <f>[1]Ergebniss!AJ30</f>
        <v>Zweiter Gruppe C</v>
      </c>
      <c r="AO32" s="7"/>
      <c r="AP32" s="40"/>
      <c r="AQ32" s="40"/>
      <c r="AR32" s="40"/>
      <c r="AS32" s="11"/>
      <c r="AT32" s="29"/>
      <c r="AU32" s="17"/>
      <c r="AV32" s="7"/>
      <c r="AW32" s="49"/>
      <c r="AX32" s="51"/>
      <c r="AY32" s="51"/>
      <c r="AZ32" s="7"/>
      <c r="BA32" s="7"/>
      <c r="BB32" s="7"/>
      <c r="BC32" s="7"/>
      <c r="BD32" s="11"/>
      <c r="BE32" s="7"/>
      <c r="BF32" s="11"/>
      <c r="BG32" s="11"/>
      <c r="BH32" s="100"/>
      <c r="BI32" s="30"/>
      <c r="BJ32" s="7"/>
      <c r="BK32" s="26"/>
      <c r="BL32" s="26"/>
      <c r="BM32" s="26"/>
      <c r="BN32" s="26"/>
      <c r="BO32" s="26"/>
      <c r="BP32" s="12"/>
      <c r="BQ32" s="22">
        <f>IF(BY32&gt;BY31,1,0)+IF(BY32&gt;BY32,1,0)+IF(BY32&gt;BY33,1,0)+IF(BY32&gt;BY34,1,0)+1</f>
        <v>3</v>
      </c>
      <c r="BR32" s="31" t="s">
        <v>57</v>
      </c>
      <c r="BS32" s="32">
        <f>COUNTIF($X$29:$Z$34,CONCATENATE(BR32,"_win"))</f>
        <v>0</v>
      </c>
      <c r="BT32" s="32">
        <f>COUNTIF($X$29:$Z$34,CONCATENATE(BR32,"_draw"))</f>
        <v>0</v>
      </c>
      <c r="BU32" s="32">
        <f>COUNTIF($X$29:$Z$34,CONCATENATE(BR32,"_lose"))</f>
        <v>0</v>
      </c>
      <c r="BV32" s="32">
        <f>SUMIF($T$29:$T$34,CONCATENATE("=",BR32),$U$29:$U$34)+SUMIF($P$29:$P$34,CONCATENATE("=",BR32),$Q$29:$Q$34)</f>
        <v>0</v>
      </c>
      <c r="BW32" s="32">
        <f>SUMIF($V$29:$V$34,CONCATENATE("=",BR32),$W$29:$W$34)+SUMIF($R$29:$R$34,CONCATENATE("=",BR32),$S$29:$S$34)</f>
        <v>0</v>
      </c>
      <c r="BX32" s="32">
        <f>BS32*3+BT32</f>
        <v>0</v>
      </c>
      <c r="BY32" s="32">
        <f>0.3+BV32+(BV32-BW32)*100+BS32*1000+BX32*10000</f>
        <v>0.3</v>
      </c>
      <c r="BZ32" s="12"/>
      <c r="CA32" s="31" t="str">
        <f>IF(SUM(BS31:BU34)=12,AC31,"Zweiter Gruppe D")</f>
        <v>Zweiter Gruppe D</v>
      </c>
      <c r="CB32" s="62"/>
      <c r="CC32" s="62"/>
    </row>
    <row r="33" spans="1:81" ht="13.5" customHeight="1" thickBot="1" x14ac:dyDescent="0.3">
      <c r="A33" s="13"/>
      <c r="B33" s="7" t="s">
        <v>53</v>
      </c>
      <c r="C33" s="7" t="s">
        <v>57</v>
      </c>
      <c r="D33" s="11" t="s">
        <v>9</v>
      </c>
      <c r="E33" s="7" t="s">
        <v>60</v>
      </c>
      <c r="F33" s="14">
        <f>[1]Ergebniss!G33</f>
        <v>0</v>
      </c>
      <c r="G33" s="15" t="s">
        <v>11</v>
      </c>
      <c r="H33" s="14">
        <f>[1]Ergebniss!I33</f>
        <v>0</v>
      </c>
      <c r="I33" s="11"/>
      <c r="J33" s="87"/>
      <c r="K33" s="15" t="s">
        <v>11</v>
      </c>
      <c r="L33" s="88"/>
      <c r="M33" s="16" t="str">
        <f>IF(OR(ISBLANK([1]Ergebniss!I33)),"",
IF(AND(L33=$H33,$F33=J33),3,IF(L33-J33=$H33-$F33,2,
IF(OR(AND($F33&lt;$H33,J33&lt;L33),AND($F33&gt;$H33,J33&gt;L33)),1,0))))</f>
        <v/>
      </c>
      <c r="N33" s="17"/>
      <c r="O33" s="7"/>
      <c r="P33" s="18" t="str">
        <f t="shared" si="28"/>
        <v>Island</v>
      </c>
      <c r="Q33" s="18">
        <f t="shared" si="29"/>
        <v>0</v>
      </c>
      <c r="R33" s="18" t="str">
        <f t="shared" si="30"/>
        <v>Island</v>
      </c>
      <c r="S33" s="18">
        <f t="shared" si="18"/>
        <v>0</v>
      </c>
      <c r="T33" s="18" t="str">
        <f t="shared" si="31"/>
        <v>Kroatien</v>
      </c>
      <c r="U33" s="19">
        <f t="shared" si="19"/>
        <v>0</v>
      </c>
      <c r="V33" s="19" t="str">
        <f t="shared" si="32"/>
        <v>Kroatien</v>
      </c>
      <c r="W33" s="19">
        <f t="shared" si="33"/>
        <v>0</v>
      </c>
      <c r="X33" s="19" t="str">
        <f t="shared" si="34"/>
        <v/>
      </c>
      <c r="Y33" s="19" t="str">
        <f t="shared" si="35"/>
        <v/>
      </c>
      <c r="Z33" s="19"/>
      <c r="AC33" s="41" t="str">
        <f>VLOOKUP(1,BQ31:BX34,2,FALSE)</f>
        <v>Nigeria</v>
      </c>
      <c r="AD33" s="42">
        <f>VLOOKUP(1,BQ31:BX34,3,FALSE)</f>
        <v>0</v>
      </c>
      <c r="AE33" s="42">
        <f>VLOOKUP(1,BQ31:BX34,4,FALSE)</f>
        <v>0</v>
      </c>
      <c r="AF33" s="42">
        <f>VLOOKUP(1,BQ31:BX34,5,FALSE)</f>
        <v>0</v>
      </c>
      <c r="AG33" s="42" t="str">
        <f>CONCATENATE(VLOOKUP(1,BQ31:BX34,6,FALSE)," - ",VLOOKUP(1,BQ31:BX34,7,FALSE))</f>
        <v>0 - 0</v>
      </c>
      <c r="AH33" s="43">
        <f>VLOOKUP(1,BQ31:BX34,8,FALSE)</f>
        <v>0</v>
      </c>
      <c r="AI33" s="26"/>
      <c r="AJ33" s="44"/>
      <c r="AK33" s="45"/>
      <c r="AL33" s="45"/>
      <c r="AM33" s="45"/>
      <c r="AN33" s="45"/>
      <c r="AO33" s="45"/>
      <c r="AP33" s="46"/>
      <c r="AQ33" s="46"/>
      <c r="AR33" s="46"/>
      <c r="AS33" s="46"/>
      <c r="AT33" s="46"/>
      <c r="AU33" s="47"/>
      <c r="AV33" s="7"/>
      <c r="AW33" s="13"/>
      <c r="AX33" s="7"/>
      <c r="AY33" s="7"/>
      <c r="AZ33" s="33"/>
      <c r="BA33" s="7"/>
      <c r="BB33" s="7"/>
      <c r="BC33" s="7"/>
      <c r="BD33" s="11"/>
      <c r="BE33" s="7"/>
      <c r="BF33" s="11"/>
      <c r="BG33" s="7"/>
      <c r="BH33" s="100"/>
      <c r="BI33" s="17"/>
      <c r="BJ33" s="7"/>
      <c r="BK33" s="26"/>
      <c r="BL33" s="26"/>
      <c r="BM33" s="26"/>
      <c r="BN33" s="26"/>
      <c r="BO33" s="26"/>
      <c r="BP33" s="12"/>
      <c r="BQ33" s="22">
        <f>IF(BY33&gt;BY31,1,0)+IF(BY33&gt;BY32,1,0)+IF(BY33&gt;BY33,1,0)+IF(BY33&gt;BY34,1,0)+1</f>
        <v>2</v>
      </c>
      <c r="BR33" s="31" t="s">
        <v>60</v>
      </c>
      <c r="BS33" s="32">
        <f>COUNTIF($X$29:$Z$34,CONCATENATE(BR33,"_win"))</f>
        <v>0</v>
      </c>
      <c r="BT33" s="32">
        <f>COUNTIF($X$29:$Z$34,CONCATENATE(BR33,"_draw"))</f>
        <v>0</v>
      </c>
      <c r="BU33" s="32">
        <f>COUNTIF($X$29:$Z$34,CONCATENATE(BR33,"_lose"))</f>
        <v>0</v>
      </c>
      <c r="BV33" s="32">
        <f>SUMIF($T$29:$T$34,CONCATENATE("=",BR33),$U$29:$U$34)+SUMIF($P$29:$P$34,CONCATENATE("=",BR33),$Q$29:$Q$34)</f>
        <v>0</v>
      </c>
      <c r="BW33" s="32">
        <f>SUMIF($V$29:$V$34,CONCATENATE("=",BR33),$W$29:$W$34)+SUMIF($R$29:$R$34,CONCATENATE("=",BR33),$S$29:$S$34)</f>
        <v>0</v>
      </c>
      <c r="BX33" s="32">
        <f>BS33*3+BT33</f>
        <v>0</v>
      </c>
      <c r="BY33" s="32">
        <f>0.2+BV33+(BV33-BW33)*100+BS33*1000+BX33*10000</f>
        <v>0.2</v>
      </c>
      <c r="BZ33" s="12"/>
      <c r="CA33" s="12"/>
      <c r="CB33" s="62" t="s">
        <v>64</v>
      </c>
      <c r="CC33" s="62"/>
    </row>
    <row r="34" spans="1:81" ht="13.5" customHeight="1" x14ac:dyDescent="0.25">
      <c r="A34" s="13"/>
      <c r="B34" s="7" t="s">
        <v>53</v>
      </c>
      <c r="C34" s="7" t="s">
        <v>61</v>
      </c>
      <c r="D34" s="11" t="s">
        <v>9</v>
      </c>
      <c r="E34" s="7" t="s">
        <v>56</v>
      </c>
      <c r="F34" s="14">
        <f>[1]Ergebniss!G34</f>
        <v>0</v>
      </c>
      <c r="G34" s="15" t="s">
        <v>11</v>
      </c>
      <c r="H34" s="14">
        <f>[1]Ergebniss!I34</f>
        <v>0</v>
      </c>
      <c r="I34" s="11"/>
      <c r="J34" s="87"/>
      <c r="K34" s="15" t="s">
        <v>11</v>
      </c>
      <c r="L34" s="88"/>
      <c r="M34" s="16" t="str">
        <f>IF(OR(ISBLANK([1]Ergebniss!I34)),"",
IF(AND(L34=$H34,$F34=J34),3,IF(L34-J34=$H34-$F34,2,
IF(OR(AND($F34&lt;$H34,J34&lt;L34),AND($F34&gt;$H34,J34&gt;L34)),1,0))))</f>
        <v/>
      </c>
      <c r="N34" s="17"/>
      <c r="O34" s="7"/>
      <c r="P34" s="18" t="str">
        <f t="shared" si="28"/>
        <v>Nigeria</v>
      </c>
      <c r="Q34" s="18">
        <f t="shared" si="29"/>
        <v>0</v>
      </c>
      <c r="R34" s="18" t="str">
        <f t="shared" si="30"/>
        <v>Nigeria</v>
      </c>
      <c r="S34" s="18">
        <f t="shared" si="18"/>
        <v>0</v>
      </c>
      <c r="T34" s="18" t="str">
        <f t="shared" si="31"/>
        <v>Argentinien</v>
      </c>
      <c r="U34" s="19">
        <f t="shared" si="19"/>
        <v>0</v>
      </c>
      <c r="V34" s="19" t="str">
        <f t="shared" si="32"/>
        <v>Argentinien</v>
      </c>
      <c r="W34" s="19">
        <f t="shared" si="33"/>
        <v>0</v>
      </c>
      <c r="X34" s="19" t="str">
        <f t="shared" si="34"/>
        <v/>
      </c>
      <c r="Y34" s="19" t="str">
        <f t="shared" si="35"/>
        <v/>
      </c>
      <c r="Z34" s="19"/>
      <c r="AC34" s="8"/>
      <c r="AD34" s="8"/>
      <c r="AE34" s="8"/>
      <c r="AF34" s="8"/>
      <c r="AG34" s="8"/>
      <c r="AH34" s="8"/>
      <c r="AI34" s="8"/>
      <c r="AJ34" s="7"/>
      <c r="AK34" s="7"/>
      <c r="AL34" s="68"/>
      <c r="AM34" s="7"/>
      <c r="AN34" s="7"/>
      <c r="AO34" s="7"/>
      <c r="AP34" s="11"/>
      <c r="AQ34" s="11"/>
      <c r="AR34" s="11"/>
      <c r="AS34" s="11"/>
      <c r="AT34" s="11"/>
      <c r="AU34" s="7"/>
      <c r="AV34" s="7"/>
      <c r="AW34" s="13"/>
      <c r="AX34" s="100" t="s">
        <v>54</v>
      </c>
      <c r="AY34" s="100"/>
      <c r="AZ34" s="33" t="str">
        <f>[1]Ergebniss!AT31</f>
        <v>Sieger 3. Achtelfinale</v>
      </c>
      <c r="BA34" s="7" t="s">
        <v>9</v>
      </c>
      <c r="BB34" s="7" t="str">
        <f>[1]Ergebniss!AV31</f>
        <v>Sieger 4. Achtelfinale</v>
      </c>
      <c r="BC34" s="7"/>
      <c r="BD34" s="40">
        <v>2</v>
      </c>
      <c r="BE34" s="40" t="s">
        <v>11</v>
      </c>
      <c r="BF34" s="40">
        <v>4</v>
      </c>
      <c r="BG34" s="11"/>
      <c r="BH34" s="29"/>
      <c r="BI34" s="17"/>
      <c r="BJ34" s="7"/>
      <c r="BK34" s="8"/>
      <c r="BL34" s="8"/>
      <c r="BM34" s="8"/>
      <c r="BN34" s="8"/>
      <c r="BO34" s="8"/>
      <c r="BP34" s="12"/>
      <c r="BQ34" s="22">
        <f>IF(BY34&gt;BY31,1,0)+IF(BY34&gt;BY32,1,0)+IF(BY34&gt;BY33,1,0)+IF(BY34&gt;BY34,1,0)+1</f>
        <v>1</v>
      </c>
      <c r="BR34" s="31" t="s">
        <v>61</v>
      </c>
      <c r="BS34" s="32">
        <f>COUNTIF($X$29:$Z$34,CONCATENATE(BR34,"_win"))</f>
        <v>0</v>
      </c>
      <c r="BT34" s="32">
        <f>COUNTIF($X$29:$Z$34,CONCATENATE(BR34,"_draw"))</f>
        <v>0</v>
      </c>
      <c r="BU34" s="32">
        <f>COUNTIF($X$29:$Z$34,CONCATENATE(BR34,"_lose"))</f>
        <v>0</v>
      </c>
      <c r="BV34" s="32">
        <f>SUMIF($T$29:$T$34,CONCATENATE("=",BR34),$U$29:$U$34)+SUMIF($P$29:$P$34,CONCATENATE("=",BR34),$Q$29:$Q$34)</f>
        <v>0</v>
      </c>
      <c r="BW34" s="32">
        <f>SUMIF($V$29:$V$34,CONCATENATE("=",BR34),$W$29:$W$34)+SUMIF($R$29:$R$34,CONCATENATE("=",BR34),$S$29:$S$34)</f>
        <v>0</v>
      </c>
      <c r="BX34" s="32">
        <f>BS34*3+BT34</f>
        <v>0</v>
      </c>
      <c r="BY34" s="32">
        <f>0.1+BV34+(BV34-BW34)*100+BS34*1000+BX34*10000</f>
        <v>0.1</v>
      </c>
      <c r="BZ34" s="12"/>
      <c r="CA34" s="12"/>
      <c r="CB34" s="64" t="str">
        <f>IF(BD61="","",IF(BF61="","",IF(BD61&gt;BF61,AZ61,IF(BD61&lt;BF61,BB61,""))))</f>
        <v/>
      </c>
      <c r="CC34" s="64" t="str">
        <f>IF(CB34="","Weltmeister",CB34)</f>
        <v>Weltmeister</v>
      </c>
    </row>
    <row r="35" spans="1:81" ht="7.5" customHeight="1" thickBot="1" x14ac:dyDescent="0.25">
      <c r="A35" s="44"/>
      <c r="B35" s="45"/>
      <c r="C35" s="45"/>
      <c r="D35" s="46"/>
      <c r="E35" s="45"/>
      <c r="F35" s="46"/>
      <c r="G35" s="46"/>
      <c r="H35" s="46"/>
      <c r="I35" s="46"/>
      <c r="J35" s="46"/>
      <c r="K35" s="46"/>
      <c r="L35" s="46"/>
      <c r="M35" s="46"/>
      <c r="N35" s="47"/>
      <c r="O35" s="7"/>
      <c r="P35" s="18"/>
      <c r="Q35" s="18"/>
      <c r="R35" s="18"/>
      <c r="S35" s="18"/>
      <c r="T35" s="18"/>
      <c r="U35" s="19"/>
      <c r="V35" s="19"/>
      <c r="W35" s="19"/>
      <c r="X35" s="19"/>
      <c r="Y35" s="19"/>
      <c r="Z35" s="19"/>
      <c r="AC35" s="8"/>
      <c r="AD35" s="8"/>
      <c r="AE35" s="8"/>
      <c r="AF35" s="8"/>
      <c r="AG35" s="8"/>
      <c r="AH35" s="8"/>
      <c r="AI35" s="8"/>
      <c r="AJ35" s="7"/>
      <c r="AK35" s="7"/>
      <c r="AL35" s="68"/>
      <c r="AM35" s="7"/>
      <c r="AN35" s="7"/>
      <c r="AO35" s="7"/>
      <c r="AP35" s="11"/>
      <c r="AQ35" s="11"/>
      <c r="AR35" s="11"/>
      <c r="AS35" s="11"/>
      <c r="AT35" s="11"/>
      <c r="AU35" s="7"/>
      <c r="AV35" s="7"/>
      <c r="AW35" s="44"/>
      <c r="AX35" s="45"/>
      <c r="AY35" s="45"/>
      <c r="AZ35" s="58"/>
      <c r="BA35" s="45"/>
      <c r="BB35" s="45"/>
      <c r="BC35" s="45"/>
      <c r="BD35" s="46"/>
      <c r="BE35" s="46"/>
      <c r="BF35" s="46"/>
      <c r="BG35" s="46"/>
      <c r="BH35" s="46"/>
      <c r="BI35" s="47"/>
      <c r="BJ35" s="7"/>
      <c r="BK35" s="8"/>
      <c r="BL35" s="8"/>
      <c r="BM35" s="8"/>
      <c r="BN35" s="8"/>
      <c r="BO35" s="8"/>
      <c r="BP35" s="12"/>
      <c r="BQ35" s="22"/>
      <c r="BR35" s="31"/>
      <c r="BS35" s="32"/>
      <c r="BT35" s="32"/>
      <c r="BU35" s="32"/>
      <c r="BV35" s="32"/>
      <c r="BW35" s="32"/>
      <c r="BX35" s="32"/>
      <c r="BY35" s="32"/>
      <c r="BZ35" s="12"/>
      <c r="CA35" s="12"/>
    </row>
    <row r="36" spans="1:81" ht="13.5" customHeight="1" thickBot="1" x14ac:dyDescent="0.25">
      <c r="A36" s="7"/>
      <c r="B36" s="7"/>
      <c r="C36" s="7"/>
      <c r="D36" s="11"/>
      <c r="E36" s="7"/>
      <c r="F36" s="11"/>
      <c r="G36" s="11"/>
      <c r="H36" s="11"/>
      <c r="I36" s="11"/>
      <c r="J36" s="11"/>
      <c r="K36" s="11"/>
      <c r="L36" s="11"/>
      <c r="M36" s="11"/>
      <c r="N36" s="7"/>
      <c r="O36" s="7"/>
      <c r="P36" s="18"/>
      <c r="Q36" s="18"/>
      <c r="R36" s="18"/>
      <c r="S36" s="18"/>
      <c r="T36" s="18"/>
      <c r="U36" s="19"/>
      <c r="V36" s="19"/>
      <c r="W36" s="19"/>
      <c r="X36" s="19"/>
      <c r="Y36" s="19"/>
      <c r="Z36" s="19"/>
      <c r="AC36" s="8"/>
      <c r="AD36" s="8"/>
      <c r="AE36" s="8"/>
      <c r="AF36" s="8"/>
      <c r="AG36" s="8"/>
      <c r="AH36" s="8"/>
      <c r="AI36" s="8"/>
      <c r="AJ36" s="7"/>
      <c r="AK36" s="7"/>
      <c r="AL36" s="68"/>
      <c r="AM36" s="7"/>
      <c r="AN36" s="7"/>
      <c r="AO36" s="7"/>
      <c r="AP36" s="11"/>
      <c r="AQ36" s="11"/>
      <c r="AR36" s="11"/>
      <c r="AS36" s="11"/>
      <c r="AT36" s="11"/>
      <c r="AU36" s="7"/>
      <c r="AV36" s="7"/>
      <c r="AW36" s="7"/>
      <c r="AX36" s="7"/>
      <c r="AY36" s="7"/>
      <c r="AZ36" s="33"/>
      <c r="BA36" s="7"/>
      <c r="BB36" s="7"/>
      <c r="BC36" s="7"/>
      <c r="BD36" s="11"/>
      <c r="BE36" s="11"/>
      <c r="BF36" s="11"/>
      <c r="BG36" s="11"/>
      <c r="BH36" s="11"/>
      <c r="BI36" s="7"/>
      <c r="BJ36" s="7"/>
      <c r="BK36" s="8"/>
      <c r="BL36" s="8"/>
      <c r="BM36" s="8"/>
      <c r="BN36" s="8"/>
      <c r="BO36" s="8"/>
      <c r="BP36" s="12"/>
      <c r="BQ36" s="22"/>
      <c r="BR36" s="31"/>
      <c r="BS36" s="32"/>
      <c r="BT36" s="32"/>
      <c r="BU36" s="32"/>
      <c r="BV36" s="32"/>
      <c r="BW36" s="32"/>
      <c r="BX36" s="32"/>
      <c r="BY36" s="32"/>
      <c r="BZ36" s="12"/>
      <c r="CA36" s="12"/>
    </row>
    <row r="37" spans="1:81" s="69" customFormat="1" ht="13.5" hidden="1" thickBot="1" x14ac:dyDescent="0.25">
      <c r="D37" s="70"/>
      <c r="F37" s="70"/>
      <c r="G37" s="70"/>
      <c r="H37" s="70"/>
      <c r="I37" s="70"/>
      <c r="J37" s="70"/>
      <c r="K37" s="70"/>
      <c r="L37" s="70"/>
      <c r="M37" s="70"/>
      <c r="P37" s="71"/>
      <c r="Q37" s="71"/>
      <c r="R37" s="71"/>
      <c r="S37" s="71"/>
      <c r="T37" s="71"/>
      <c r="U37" s="72"/>
      <c r="V37" s="72"/>
      <c r="W37" s="72"/>
      <c r="X37" s="72"/>
      <c r="Y37" s="72"/>
      <c r="Z37" s="72"/>
      <c r="AC37" s="73"/>
      <c r="AD37" s="73"/>
      <c r="AE37" s="73"/>
      <c r="AF37" s="73"/>
      <c r="AG37" s="73"/>
      <c r="AH37" s="73"/>
      <c r="AI37" s="73"/>
      <c r="AP37" s="70"/>
      <c r="AQ37" s="70"/>
      <c r="AR37" s="70"/>
      <c r="AS37" s="70"/>
      <c r="AT37" s="70"/>
      <c r="AZ37" s="74"/>
      <c r="BB37" s="69" t="s">
        <v>65</v>
      </c>
      <c r="BD37" s="70"/>
      <c r="BE37" s="70"/>
      <c r="BF37" s="70"/>
      <c r="BG37" s="70"/>
      <c r="BH37" s="75">
        <f>SUM(BH6:BH34)</f>
        <v>0</v>
      </c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</row>
    <row r="38" spans="1:81" ht="13.5" customHeight="1" thickBot="1" x14ac:dyDescent="0.25">
      <c r="A38" s="1"/>
      <c r="B38" s="2" t="s">
        <v>66</v>
      </c>
      <c r="C38" s="3"/>
      <c r="D38" s="4"/>
      <c r="E38" s="3"/>
      <c r="F38" s="102" t="s">
        <v>1</v>
      </c>
      <c r="G38" s="102"/>
      <c r="H38" s="102"/>
      <c r="I38" s="5"/>
      <c r="J38" s="92"/>
      <c r="K38" s="92"/>
      <c r="L38" s="92"/>
      <c r="M38" s="5" t="s">
        <v>2</v>
      </c>
      <c r="N38" s="6"/>
      <c r="O38" s="7"/>
      <c r="AC38" s="115" t="s">
        <v>66</v>
      </c>
      <c r="AD38" s="113" t="s">
        <v>3</v>
      </c>
      <c r="AE38" s="113" t="s">
        <v>4</v>
      </c>
      <c r="AF38" s="113" t="s">
        <v>5</v>
      </c>
      <c r="AG38" s="113" t="s">
        <v>6</v>
      </c>
      <c r="AH38" s="114" t="s">
        <v>2</v>
      </c>
      <c r="AI38" s="9"/>
      <c r="AZ38" s="8"/>
      <c r="BA38" s="7"/>
      <c r="BE38" s="8"/>
      <c r="BG38" s="8"/>
      <c r="BH38" s="11"/>
      <c r="BI38" s="7"/>
      <c r="BJ38" s="11"/>
      <c r="BK38" s="9"/>
      <c r="BL38" s="9"/>
      <c r="BM38" s="9"/>
      <c r="BN38" s="9"/>
      <c r="BO38" s="9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</row>
    <row r="39" spans="1:81" ht="13.5" customHeight="1" thickBot="1" x14ac:dyDescent="0.3">
      <c r="A39" s="13"/>
      <c r="B39" s="7" t="s">
        <v>67</v>
      </c>
      <c r="C39" s="7" t="s">
        <v>68</v>
      </c>
      <c r="D39" s="11" t="s">
        <v>9</v>
      </c>
      <c r="E39" s="7" t="s">
        <v>69</v>
      </c>
      <c r="F39" s="14">
        <f>[1]Ergebniss!G39</f>
        <v>0</v>
      </c>
      <c r="G39" s="15" t="s">
        <v>11</v>
      </c>
      <c r="H39" s="14">
        <f>[1]Ergebniss!I39</f>
        <v>0</v>
      </c>
      <c r="I39" s="11"/>
      <c r="J39" s="87"/>
      <c r="K39" s="15" t="s">
        <v>11</v>
      </c>
      <c r="L39" s="87"/>
      <c r="M39" s="16" t="str">
        <f>IF(OR(ISBLANK([1]Ergebniss!I39)),"",
IF(AND(L39=$H39,$F39=J39),3,IF(L39-J39=$H39-$F39,2,
IF(OR(AND($F39&lt;$H39,J39&lt;L39),AND($F39&gt;$H39,J39&gt;L39)),1,0))))</f>
        <v/>
      </c>
      <c r="N39" s="17"/>
      <c r="O39" s="7"/>
      <c r="P39" s="18" t="str">
        <f t="shared" ref="P39:P44" si="36">C39</f>
        <v>Costa Rica</v>
      </c>
      <c r="Q39" s="18">
        <f t="shared" ref="Q39:Q44" si="37">J39</f>
        <v>0</v>
      </c>
      <c r="R39" s="18" t="str">
        <f t="shared" ref="R39:R44" si="38">C39</f>
        <v>Costa Rica</v>
      </c>
      <c r="S39" s="18">
        <f t="shared" ref="S39:S44" si="39">L39</f>
        <v>0</v>
      </c>
      <c r="T39" s="18" t="str">
        <f t="shared" ref="T39:T44" si="40">E39</f>
        <v>Serbien</v>
      </c>
      <c r="U39" s="19">
        <f t="shared" ref="U39:U44" si="41">L39</f>
        <v>0</v>
      </c>
      <c r="V39" s="19" t="str">
        <f t="shared" ref="V39:V44" si="42">E39</f>
        <v>Serbien</v>
      </c>
      <c r="W39" s="19">
        <f t="shared" ref="W39:W44" si="43">J39</f>
        <v>0</v>
      </c>
      <c r="X39" s="19" t="str">
        <f t="shared" ref="X39:X44" si="44">IF(J39="","",IF(L39="","",IF(J39&gt;L39,CONCATENATE(C39,"_win"),IF(J39&lt;L39,CONCATENATE(C39,"_lose"),CONCATENATE(C39,"_draw")))))</f>
        <v/>
      </c>
      <c r="Y39" s="19" t="str">
        <f t="shared" ref="Y39:Y44" si="45">IF(J39="","",IF(L39="","",IF(J39&gt;L39,CONCATENATE(E39,"_lose"),IF(J39&lt;L39,CONCATENATE(E39,"_win"),CONCATENATE(E39,"_draw")))))</f>
        <v/>
      </c>
      <c r="Z39" s="19"/>
      <c r="AC39" s="115"/>
      <c r="AD39" s="113"/>
      <c r="AE39" s="113"/>
      <c r="AF39" s="113"/>
      <c r="AG39" s="113"/>
      <c r="AH39" s="114"/>
      <c r="AI39" s="9"/>
      <c r="AJ39" s="90" t="s">
        <v>70</v>
      </c>
      <c r="AK39" s="91"/>
      <c r="AL39" s="91"/>
      <c r="AM39" s="91"/>
      <c r="AN39" s="91"/>
      <c r="AO39" s="2"/>
      <c r="AP39" s="92"/>
      <c r="AQ39" s="92"/>
      <c r="AR39" s="92"/>
      <c r="AS39" s="2"/>
      <c r="AT39" s="20" t="s">
        <v>13</v>
      </c>
      <c r="AU39" s="21"/>
      <c r="AV39" s="11"/>
      <c r="AW39" s="90" t="s">
        <v>71</v>
      </c>
      <c r="AX39" s="91"/>
      <c r="AY39" s="91"/>
      <c r="AZ39" s="91"/>
      <c r="BA39" s="91"/>
      <c r="BB39" s="91"/>
      <c r="BC39" s="2"/>
      <c r="BD39" s="4" t="s">
        <v>31</v>
      </c>
      <c r="BE39" s="4"/>
      <c r="BF39" s="4"/>
      <c r="BG39" s="2"/>
      <c r="BH39" s="5" t="s">
        <v>13</v>
      </c>
      <c r="BI39" s="21"/>
      <c r="BJ39" s="7"/>
      <c r="BK39" s="9"/>
      <c r="BL39" s="9"/>
      <c r="BM39" s="9"/>
      <c r="BN39" s="9"/>
      <c r="BO39" s="9"/>
      <c r="BP39" s="12"/>
      <c r="BQ39" s="22" t="s">
        <v>15</v>
      </c>
      <c r="BR39" s="22" t="s">
        <v>66</v>
      </c>
      <c r="BS39" s="22" t="s">
        <v>16</v>
      </c>
      <c r="BT39" s="22" t="s">
        <v>17</v>
      </c>
      <c r="BU39" s="22" t="s">
        <v>18</v>
      </c>
      <c r="BV39" s="22" t="s">
        <v>6</v>
      </c>
      <c r="BW39" s="22" t="s">
        <v>19</v>
      </c>
      <c r="BX39" s="22" t="s">
        <v>2</v>
      </c>
      <c r="BY39" s="22" t="s">
        <v>20</v>
      </c>
      <c r="BZ39" s="12"/>
      <c r="CA39" s="12"/>
    </row>
    <row r="40" spans="1:81" ht="13.5" customHeight="1" x14ac:dyDescent="0.25">
      <c r="A40" s="13"/>
      <c r="B40" s="7" t="s">
        <v>67</v>
      </c>
      <c r="C40" s="7" t="s">
        <v>72</v>
      </c>
      <c r="D40" s="11" t="s">
        <v>9</v>
      </c>
      <c r="E40" s="7" t="s">
        <v>73</v>
      </c>
      <c r="F40" s="14">
        <f>[1]Ergebniss!G40</f>
        <v>0</v>
      </c>
      <c r="G40" s="15" t="s">
        <v>11</v>
      </c>
      <c r="H40" s="14">
        <f>[1]Ergebniss!I40</f>
        <v>0</v>
      </c>
      <c r="I40" s="11"/>
      <c r="J40" s="88"/>
      <c r="K40" s="15" t="s">
        <v>11</v>
      </c>
      <c r="L40" s="88"/>
      <c r="M40" s="16" t="str">
        <f>IF(OR(ISBLANK([1]Ergebniss!I40)),"",
IF(AND(L40=$H40,$F40=J40),3,IF(L40-J40=$H40-$F40,2,
IF(OR(AND($F40&lt;$H40,J40&lt;L40),AND($F40&gt;$H40,J40&gt;L40)),1,0))))</f>
        <v/>
      </c>
      <c r="N40" s="17"/>
      <c r="O40" s="7"/>
      <c r="P40" s="18" t="str">
        <f t="shared" si="36"/>
        <v>Brasilien</v>
      </c>
      <c r="Q40" s="18">
        <f t="shared" si="37"/>
        <v>0</v>
      </c>
      <c r="R40" s="18" t="str">
        <f t="shared" si="38"/>
        <v>Brasilien</v>
      </c>
      <c r="S40" s="18">
        <f t="shared" si="39"/>
        <v>0</v>
      </c>
      <c r="T40" s="18" t="str">
        <f t="shared" si="40"/>
        <v>Schweiz</v>
      </c>
      <c r="U40" s="19">
        <f t="shared" si="41"/>
        <v>0</v>
      </c>
      <c r="V40" s="19" t="str">
        <f t="shared" si="42"/>
        <v>Schweiz</v>
      </c>
      <c r="W40" s="19">
        <f t="shared" si="43"/>
        <v>0</v>
      </c>
      <c r="X40" s="19" t="str">
        <f t="shared" si="44"/>
        <v/>
      </c>
      <c r="Y40" s="19" t="str">
        <f t="shared" si="45"/>
        <v/>
      </c>
      <c r="Z40" s="19"/>
      <c r="AC40" s="23" t="str">
        <f>VLOOKUP(4,BQ40:BX43,2,FALSE)</f>
        <v>Brasilien</v>
      </c>
      <c r="AD40" s="24">
        <f>VLOOKUP(4,BQ40:BX43,3,FALSE)</f>
        <v>0</v>
      </c>
      <c r="AE40" s="24">
        <f>VLOOKUP(4,BQ40:BX43,4,FALSE)</f>
        <v>0</v>
      </c>
      <c r="AF40" s="24">
        <f>VLOOKUP(4,BQ40:BX43,5,FALSE)</f>
        <v>0</v>
      </c>
      <c r="AG40" s="24" t="str">
        <f>CONCATENATE(VLOOKUP(4,BQ40:BX43,6,FALSE)," - ",VLOOKUP(4,BQ40:BX43,7,FALSE))</f>
        <v>0 - 0</v>
      </c>
      <c r="AH40" s="25">
        <f>VLOOKUP(4,BQ40:BX43,8,FALSE)</f>
        <v>0</v>
      </c>
      <c r="AI40" s="26"/>
      <c r="AJ40" s="95" t="s">
        <v>25</v>
      </c>
      <c r="AK40" s="96"/>
      <c r="AL40" s="27" t="str">
        <f>CA40</f>
        <v>Sieger Gruppe E</v>
      </c>
      <c r="AM40" s="7" t="s">
        <v>9</v>
      </c>
      <c r="AN40" s="27" t="str">
        <f>CA51</f>
        <v>Zweiter Gruppe F</v>
      </c>
      <c r="AO40" s="7"/>
      <c r="AP40" s="87"/>
      <c r="AQ40" s="15" t="s">
        <v>11</v>
      </c>
      <c r="AR40" s="87"/>
      <c r="AS40" s="11"/>
      <c r="AT40" s="29"/>
      <c r="AU40" s="30"/>
      <c r="AV40" s="7"/>
      <c r="AW40" s="49"/>
      <c r="AX40" s="76" t="s">
        <v>25</v>
      </c>
      <c r="AY40" s="76"/>
      <c r="AZ40" s="27" t="str">
        <f>CC22</f>
        <v>Sieger 1. Viertelfinale</v>
      </c>
      <c r="BA40" s="7" t="s">
        <v>9</v>
      </c>
      <c r="BB40" s="27" t="str">
        <f>CC23</f>
        <v>Sieger 2. Viertelfinale</v>
      </c>
      <c r="BC40" s="7"/>
      <c r="BD40" s="87"/>
      <c r="BE40" s="15" t="s">
        <v>11</v>
      </c>
      <c r="BF40" s="87"/>
      <c r="BG40" s="11"/>
      <c r="BH40" s="29"/>
      <c r="BI40" s="30"/>
      <c r="BJ40" s="7"/>
      <c r="BK40" s="26"/>
      <c r="BL40" s="26"/>
      <c r="BM40" s="26"/>
      <c r="BN40" s="26"/>
      <c r="BO40" s="26"/>
      <c r="BP40" s="12"/>
      <c r="BQ40" s="22">
        <f>IF(BY40&gt;BY40,1,0)+IF(BY40&gt;BY41,1,0)+IF(BY40&gt;BY42,1,0)+IF(BY40&gt;BY43,1,0)+1</f>
        <v>4</v>
      </c>
      <c r="BR40" s="31" t="s">
        <v>72</v>
      </c>
      <c r="BS40" s="32">
        <f>COUNTIF($X$39:$Z$44,CONCATENATE(BR40,"_win"))</f>
        <v>0</v>
      </c>
      <c r="BT40" s="32">
        <f>COUNTIF($X$39:$Z$44,CONCATENATE(BR40,"_draw"))</f>
        <v>0</v>
      </c>
      <c r="BU40" s="32">
        <f>COUNTIF($X$39:$Z$44,CONCATENATE(BR40,"_lose"))</f>
        <v>0</v>
      </c>
      <c r="BV40" s="32">
        <f>SUMIF($T$39:$T$44,CONCATENATE("=",BR40),$U$39:$U$44)+SUMIF($P$39:$P$44,CONCATENATE("=",BR40),$Q$39:$Q$44)</f>
        <v>0</v>
      </c>
      <c r="BW40" s="32">
        <f>SUMIF($V$39:$V$44,CONCATENATE("=",BR40),$W$39:$W$44)+SUMIF($R$39:$R$44,CONCATENATE("=",BR40),$S$39:$S$44)</f>
        <v>0</v>
      </c>
      <c r="BX40" s="32">
        <f>BS40*3+BT40</f>
        <v>0</v>
      </c>
      <c r="BY40" s="32">
        <f>0.4+BV40+(BV40-BW40)*100+BS40*1000+BX40*10000</f>
        <v>0.4</v>
      </c>
      <c r="BZ40" s="12"/>
      <c r="CA40" s="31" t="str">
        <f>IF(SUM(BS40:BU43)=12,AC40,"Sieger Gruppe E")</f>
        <v>Sieger Gruppe E</v>
      </c>
    </row>
    <row r="41" spans="1:81" ht="13.5" customHeight="1" thickBot="1" x14ac:dyDescent="0.3">
      <c r="A41" s="13"/>
      <c r="B41" s="7" t="s">
        <v>63</v>
      </c>
      <c r="C41" s="7" t="s">
        <v>72</v>
      </c>
      <c r="D41" s="11" t="s">
        <v>9</v>
      </c>
      <c r="E41" s="7" t="s">
        <v>68</v>
      </c>
      <c r="F41" s="14">
        <f>[1]Ergebniss!G41</f>
        <v>0</v>
      </c>
      <c r="G41" s="15" t="s">
        <v>11</v>
      </c>
      <c r="H41" s="14">
        <f>[1]Ergebniss!I41</f>
        <v>0</v>
      </c>
      <c r="I41" s="11"/>
      <c r="J41" s="87"/>
      <c r="K41" s="15" t="s">
        <v>11</v>
      </c>
      <c r="L41" s="88"/>
      <c r="M41" s="16" t="str">
        <f>IF(OR(ISBLANK([1]Ergebniss!I41)),"",
IF(AND(L41=$H41,$F41=J41),3,IF(L41-J41=$H41-$F41,2,
IF(OR(AND($F41&lt;$H41,J41&lt;L41),AND($F41&gt;$H41,J41&gt;L41)),1,0))))</f>
        <v/>
      </c>
      <c r="N41" s="17"/>
      <c r="O41" s="7"/>
      <c r="P41" s="18" t="str">
        <f t="shared" si="36"/>
        <v>Brasilien</v>
      </c>
      <c r="Q41" s="18">
        <f t="shared" si="37"/>
        <v>0</v>
      </c>
      <c r="R41" s="18" t="str">
        <f t="shared" si="38"/>
        <v>Brasilien</v>
      </c>
      <c r="S41" s="18">
        <f t="shared" si="39"/>
        <v>0</v>
      </c>
      <c r="T41" s="18" t="str">
        <f t="shared" si="40"/>
        <v>Costa Rica</v>
      </c>
      <c r="U41" s="19">
        <f t="shared" si="41"/>
        <v>0</v>
      </c>
      <c r="V41" s="19" t="str">
        <f t="shared" si="42"/>
        <v>Costa Rica</v>
      </c>
      <c r="W41" s="19">
        <f t="shared" si="43"/>
        <v>0</v>
      </c>
      <c r="X41" s="19" t="str">
        <f t="shared" si="44"/>
        <v/>
      </c>
      <c r="Y41" s="19" t="str">
        <f t="shared" si="45"/>
        <v/>
      </c>
      <c r="Z41" s="19"/>
      <c r="AC41" s="34" t="str">
        <f>VLOOKUP(3,BQ40:BX43,2,FALSE)</f>
        <v>Costa Rica</v>
      </c>
      <c r="AD41" s="35">
        <f>VLOOKUP(3,BQ40:BX43,3,FALSE)</f>
        <v>0</v>
      </c>
      <c r="AE41" s="35">
        <f>VLOOKUP(3,BQ40:BX43,4,FALSE)</f>
        <v>0</v>
      </c>
      <c r="AF41" s="35">
        <f>VLOOKUP(3,BQ40:BX43,5,FALSE)</f>
        <v>0</v>
      </c>
      <c r="AG41" s="35" t="str">
        <f>CONCATENATE(VLOOKUP(3,BQ40:BX43,6,FALSE)," - ",VLOOKUP(3,BQ40:BX43,7,FALSE))</f>
        <v>0 - 0</v>
      </c>
      <c r="AH41" s="36">
        <f>VLOOKUP(3,BQ40:BX43,8,FALSE)</f>
        <v>0</v>
      </c>
      <c r="AI41" s="26"/>
      <c r="AJ41" s="13"/>
      <c r="AK41" s="7"/>
      <c r="AL41" s="7"/>
      <c r="AM41" s="7"/>
      <c r="AN41" s="7"/>
      <c r="AO41" s="7"/>
      <c r="AP41" s="11"/>
      <c r="AQ41" s="11"/>
      <c r="AR41" s="11"/>
      <c r="AS41" s="11"/>
      <c r="AT41" s="11"/>
      <c r="AU41" s="17"/>
      <c r="AV41" s="7"/>
      <c r="AW41" s="49"/>
      <c r="AX41" s="51"/>
      <c r="AY41" s="51"/>
      <c r="AZ41" s="7"/>
      <c r="BA41" s="7"/>
      <c r="BB41" s="7"/>
      <c r="BC41" s="7"/>
      <c r="BD41" s="11"/>
      <c r="BE41" s="7"/>
      <c r="BF41" s="11"/>
      <c r="BG41" s="11"/>
      <c r="BH41" s="112"/>
      <c r="BI41" s="30"/>
      <c r="BJ41" s="7"/>
      <c r="BK41" s="26"/>
      <c r="BL41" s="26"/>
      <c r="BM41" s="26"/>
      <c r="BN41" s="26"/>
      <c r="BO41" s="26"/>
      <c r="BP41" s="12"/>
      <c r="BQ41" s="22">
        <f>IF(BY41&gt;BY40,1,0)+IF(BY41&gt;BY41,1,0)+IF(BY41&gt;BY42,1,0)+IF(BY41&gt;BY43,1,0)+1</f>
        <v>3</v>
      </c>
      <c r="BR41" s="31" t="s">
        <v>68</v>
      </c>
      <c r="BS41" s="32">
        <f>COUNTIF($X$39:$Z$44,CONCATENATE(BR41,"_win"))</f>
        <v>0</v>
      </c>
      <c r="BT41" s="32">
        <f>COUNTIF($X$39:$Z$44,CONCATENATE(BR41,"_draw"))</f>
        <v>0</v>
      </c>
      <c r="BU41" s="32">
        <f>COUNTIF($X$39:$Z$44,CONCATENATE(BR41,"_lose"))</f>
        <v>0</v>
      </c>
      <c r="BV41" s="32">
        <f>SUMIF($T$39:$T$44,CONCATENATE("=",BR41),$U$39:$U$44)+SUMIF($P$39:$P$44,CONCATENATE("=",BR41),$Q$39:$Q$44)</f>
        <v>0</v>
      </c>
      <c r="BW41" s="32">
        <f>SUMIF($V$39:$V$44,CONCATENATE("=",BR41),$W$39:$W$44)+SUMIF($R$39:$R$44,CONCATENATE("=",BR41),$S$39:$S$44)</f>
        <v>0</v>
      </c>
      <c r="BX41" s="32">
        <f>BS41*3+BT41</f>
        <v>0</v>
      </c>
      <c r="BY41" s="32">
        <f>0.3+BV41+(BV41-BW41)*100+BS41*1000+BX41*10000</f>
        <v>0.3</v>
      </c>
      <c r="BZ41" s="12"/>
      <c r="CA41" s="31" t="str">
        <f>IF(SUM(BS40:BU43)=12,AC41,"Zweiter Gruppe E")</f>
        <v>Zweiter Gruppe E</v>
      </c>
    </row>
    <row r="42" spans="1:81" ht="13.5" customHeight="1" x14ac:dyDescent="0.25">
      <c r="A42" s="13"/>
      <c r="B42" s="7" t="s">
        <v>63</v>
      </c>
      <c r="C42" s="7" t="s">
        <v>69</v>
      </c>
      <c r="D42" s="11" t="s">
        <v>9</v>
      </c>
      <c r="E42" s="7" t="s">
        <v>73</v>
      </c>
      <c r="F42" s="14">
        <f>[1]Ergebniss!G42</f>
        <v>0</v>
      </c>
      <c r="G42" s="15" t="s">
        <v>11</v>
      </c>
      <c r="H42" s="14">
        <f>[1]Ergebniss!I42</f>
        <v>0</v>
      </c>
      <c r="I42" s="11"/>
      <c r="J42" s="88"/>
      <c r="K42" s="15" t="s">
        <v>11</v>
      </c>
      <c r="L42" s="88"/>
      <c r="M42" s="16" t="str">
        <f>IF(OR(ISBLANK([1]Ergebniss!I42)),"",
IF(AND(L42=$H42,$F42=J42),3,IF(L42-J42=$H42-$F42,2,
IF(OR(AND($F42&lt;$H42,J42&lt;L42),AND($F42&gt;$H42,J42&gt;L42)),1,0))))</f>
        <v/>
      </c>
      <c r="N42" s="17"/>
      <c r="O42" s="7"/>
      <c r="P42" s="18" t="str">
        <f t="shared" si="36"/>
        <v>Serbien</v>
      </c>
      <c r="Q42" s="18">
        <f t="shared" si="37"/>
        <v>0</v>
      </c>
      <c r="R42" s="18" t="str">
        <f t="shared" si="38"/>
        <v>Serbien</v>
      </c>
      <c r="S42" s="18">
        <f t="shared" si="39"/>
        <v>0</v>
      </c>
      <c r="T42" s="18" t="str">
        <f t="shared" si="40"/>
        <v>Schweiz</v>
      </c>
      <c r="U42" s="19">
        <f t="shared" si="41"/>
        <v>0</v>
      </c>
      <c r="V42" s="19" t="str">
        <f t="shared" si="42"/>
        <v>Schweiz</v>
      </c>
      <c r="W42" s="19">
        <f t="shared" si="43"/>
        <v>0</v>
      </c>
      <c r="X42" s="19" t="str">
        <f t="shared" si="44"/>
        <v/>
      </c>
      <c r="Y42" s="19" t="str">
        <f t="shared" si="45"/>
        <v/>
      </c>
      <c r="Z42" s="19"/>
      <c r="AC42" s="38" t="str">
        <f>VLOOKUP(2,BQ40:BX43,2,FALSE)</f>
        <v>Schweiz</v>
      </c>
      <c r="AD42" s="26">
        <f>VLOOKUP(2,BQ40:BX43,3,FALSE)</f>
        <v>0</v>
      </c>
      <c r="AE42" s="26">
        <f>VLOOKUP(2,BQ40:BX43,4,FALSE)</f>
        <v>0</v>
      </c>
      <c r="AF42" s="26">
        <f>VLOOKUP(2,BQ40:BX43,5,FALSE)</f>
        <v>0</v>
      </c>
      <c r="AG42" s="26" t="str">
        <f>CONCATENATE(VLOOKUP(2,BQ40:BX43,6,FALSE)," - ",VLOOKUP(2,BQ40:BX43,7,FALSE))</f>
        <v>0 - 0</v>
      </c>
      <c r="AH42" s="39">
        <f>VLOOKUP(2,BQ40:BX43,8,FALSE)</f>
        <v>0</v>
      </c>
      <c r="AI42" s="26"/>
      <c r="AJ42" s="99" t="s">
        <v>74</v>
      </c>
      <c r="AK42" s="100"/>
      <c r="AL42" s="7" t="str">
        <f>[1]Ergebniss!AH40</f>
        <v>Sieger Gruppe E</v>
      </c>
      <c r="AM42" s="7" t="s">
        <v>9</v>
      </c>
      <c r="AN42" s="7" t="str">
        <f>[1]Ergebniss!AJ40</f>
        <v>Zweiter Gruppe F</v>
      </c>
      <c r="AO42" s="7"/>
      <c r="AP42" s="40"/>
      <c r="AQ42" s="40"/>
      <c r="AR42" s="40"/>
      <c r="AS42" s="11"/>
      <c r="AT42" s="29"/>
      <c r="AU42" s="17"/>
      <c r="AV42" s="7"/>
      <c r="AW42" s="13"/>
      <c r="AX42" s="7"/>
      <c r="AY42" s="7"/>
      <c r="AZ42" s="33"/>
      <c r="BA42" s="7"/>
      <c r="BB42" s="7"/>
      <c r="BC42" s="7"/>
      <c r="BD42" s="11"/>
      <c r="BE42" s="7"/>
      <c r="BF42" s="11"/>
      <c r="BG42" s="7"/>
      <c r="BH42" s="100"/>
      <c r="BI42" s="17"/>
      <c r="BJ42" s="7"/>
      <c r="BK42" s="26"/>
      <c r="BL42" s="26"/>
      <c r="BM42" s="26"/>
      <c r="BN42" s="26"/>
      <c r="BO42" s="26"/>
      <c r="BP42" s="12"/>
      <c r="BQ42" s="22">
        <f>IF(BY42&gt;BY40,1,0)+IF(BY42&gt;BY41,1,0)+IF(BY42&gt;BY42,1,0)+IF(BY42&gt;BY43,1,0)+1</f>
        <v>2</v>
      </c>
      <c r="BR42" s="31" t="s">
        <v>73</v>
      </c>
      <c r="BS42" s="32">
        <f>COUNTIF($X$39:$Z$44,CONCATENATE(BR42,"_win"))</f>
        <v>0</v>
      </c>
      <c r="BT42" s="32">
        <f>COUNTIF($X$39:$Z$44,CONCATENATE(BR42,"_draw"))</f>
        <v>0</v>
      </c>
      <c r="BU42" s="32">
        <f>COUNTIF($X$39:$Z$44,CONCATENATE(BR42,"_lose"))</f>
        <v>0</v>
      </c>
      <c r="BV42" s="32">
        <f>SUMIF($T$39:$T$44,CONCATENATE("=",BR42),$U$39:$U$44)+SUMIF($P$39:$P$44,CONCATENATE("=",BR42),$Q$39:$Q$44)</f>
        <v>0</v>
      </c>
      <c r="BW42" s="32">
        <f>SUMIF($V$39:$V$44,CONCATENATE("=",BR42),$W$39:$W$44)+SUMIF($R$39:$R$44,CONCATENATE("=",BR42),$S$39:$S$44)</f>
        <v>0</v>
      </c>
      <c r="BX42" s="32">
        <f>BS42*3+BT42</f>
        <v>0</v>
      </c>
      <c r="BY42" s="32">
        <f>0.2+BV42+(BV42-BW42)*100+BS42*1000+BX42*10000</f>
        <v>0.2</v>
      </c>
      <c r="BZ42" s="12"/>
      <c r="CA42" s="12"/>
    </row>
    <row r="43" spans="1:81" ht="13.5" customHeight="1" thickBot="1" x14ac:dyDescent="0.3">
      <c r="A43" s="13"/>
      <c r="B43" s="7" t="s">
        <v>75</v>
      </c>
      <c r="C43" s="7" t="s">
        <v>69</v>
      </c>
      <c r="D43" s="11" t="s">
        <v>9</v>
      </c>
      <c r="E43" s="7" t="s">
        <v>72</v>
      </c>
      <c r="F43" s="14">
        <f>[1]Ergebniss!G43</f>
        <v>0</v>
      </c>
      <c r="G43" s="15" t="s">
        <v>11</v>
      </c>
      <c r="H43" s="14">
        <f>[1]Ergebniss!I43</f>
        <v>0</v>
      </c>
      <c r="I43" s="11"/>
      <c r="J43" s="87"/>
      <c r="K43" s="15" t="s">
        <v>11</v>
      </c>
      <c r="L43" s="88"/>
      <c r="M43" s="16" t="str">
        <f>IF(OR(ISBLANK([1]Ergebniss!I43)),"",
IF(AND(L43=$H43,$F43=J43),3,IF(L43-J43=$H43-$F43,2,
IF(OR(AND($F43&lt;$H43,J43&lt;L43),AND($F43&gt;$H43,J43&gt;L43)),1,0))))</f>
        <v/>
      </c>
      <c r="N43" s="17"/>
      <c r="O43" s="7"/>
      <c r="P43" s="18" t="str">
        <f t="shared" si="36"/>
        <v>Serbien</v>
      </c>
      <c r="Q43" s="18">
        <f t="shared" si="37"/>
        <v>0</v>
      </c>
      <c r="R43" s="18" t="str">
        <f t="shared" si="38"/>
        <v>Serbien</v>
      </c>
      <c r="S43" s="18">
        <f t="shared" si="39"/>
        <v>0</v>
      </c>
      <c r="T43" s="18" t="str">
        <f t="shared" si="40"/>
        <v>Brasilien</v>
      </c>
      <c r="U43" s="19">
        <f t="shared" si="41"/>
        <v>0</v>
      </c>
      <c r="V43" s="19" t="str">
        <f t="shared" si="42"/>
        <v>Brasilien</v>
      </c>
      <c r="W43" s="19">
        <f t="shared" si="43"/>
        <v>0</v>
      </c>
      <c r="X43" s="19" t="str">
        <f t="shared" si="44"/>
        <v/>
      </c>
      <c r="Y43" s="19" t="str">
        <f t="shared" si="45"/>
        <v/>
      </c>
      <c r="Z43" s="19"/>
      <c r="AC43" s="41" t="str">
        <f>VLOOKUP(1,BQ40:BX43,2,FALSE)</f>
        <v>Serbien</v>
      </c>
      <c r="AD43" s="42">
        <f>VLOOKUP(1,BQ40:BX43,3,FALSE)</f>
        <v>0</v>
      </c>
      <c r="AE43" s="42">
        <f>VLOOKUP(1,BQ40:BX43,4,FALSE)</f>
        <v>0</v>
      </c>
      <c r="AF43" s="42">
        <f>VLOOKUP(1,BQ40:BX43,5,FALSE)</f>
        <v>0</v>
      </c>
      <c r="AG43" s="42" t="str">
        <f>CONCATENATE(VLOOKUP(1,BQ40:BX43,6,FALSE)," - ",VLOOKUP(1,BQ40:BX43,7,FALSE))</f>
        <v>0 - 0</v>
      </c>
      <c r="AH43" s="43">
        <f>VLOOKUP(1,BQ40:BX43,8,FALSE)</f>
        <v>0</v>
      </c>
      <c r="AI43" s="26"/>
      <c r="AJ43" s="44"/>
      <c r="AK43" s="45"/>
      <c r="AL43" s="45"/>
      <c r="AM43" s="45"/>
      <c r="AN43" s="45"/>
      <c r="AO43" s="45"/>
      <c r="AP43" s="46"/>
      <c r="AQ43" s="46"/>
      <c r="AR43" s="46"/>
      <c r="AS43" s="46"/>
      <c r="AT43" s="46"/>
      <c r="AU43" s="47"/>
      <c r="AV43" s="7"/>
      <c r="AW43" s="13"/>
      <c r="AX43" s="100" t="s">
        <v>76</v>
      </c>
      <c r="AY43" s="100"/>
      <c r="AZ43" s="33" t="str">
        <f>[1]Ergebniss!AT40</f>
        <v>Sieger 1. Achtelfinale</v>
      </c>
      <c r="BA43" s="7" t="s">
        <v>9</v>
      </c>
      <c r="BB43" s="7" t="str">
        <f>[1]Ergebniss!AV40</f>
        <v>Sieger 5. Achtelfinale</v>
      </c>
      <c r="BC43" s="7"/>
      <c r="BD43" s="40">
        <v>2</v>
      </c>
      <c r="BE43" s="40" t="s">
        <v>11</v>
      </c>
      <c r="BF43" s="40">
        <v>4</v>
      </c>
      <c r="BG43" s="11"/>
      <c r="BH43" s="29"/>
      <c r="BI43" s="17"/>
      <c r="BJ43" s="7"/>
      <c r="BK43" s="26"/>
      <c r="BL43" s="26"/>
      <c r="BM43" s="26"/>
      <c r="BN43" s="26"/>
      <c r="BO43" s="26"/>
      <c r="BP43" s="12"/>
      <c r="BQ43" s="22">
        <f>IF(BY43&gt;BY40,1,0)+IF(BY43&gt;BY41,1,0)+IF(BY43&gt;BY42,1,0)+IF(BY43&gt;BY43,1,0)+1</f>
        <v>1</v>
      </c>
      <c r="BR43" s="31" t="s">
        <v>69</v>
      </c>
      <c r="BS43" s="32">
        <f>COUNTIF($X$39:$Z$44,CONCATENATE(BR43,"_win"))</f>
        <v>0</v>
      </c>
      <c r="BT43" s="32">
        <f>COUNTIF($X$39:$Z$44,CONCATENATE(BR43,"_draw"))</f>
        <v>0</v>
      </c>
      <c r="BU43" s="32">
        <f>COUNTIF($X$39:$Z$44,CONCATENATE(BR43,"_lose"))</f>
        <v>0</v>
      </c>
      <c r="BV43" s="32">
        <f>SUMIF($T$39:$T$44,CONCATENATE("=",BR43),$U$39:$U$44)+SUMIF($P$39:$P$44,CONCATENATE("=",BR43),$Q$39:$Q$44)</f>
        <v>0</v>
      </c>
      <c r="BW43" s="32">
        <f>SUMIF($V$39:$V$44,CONCATENATE("=",BR43),$W$39:$W$44)+SUMIF($R$39:$R$44,CONCATENATE("=",BR43),$S$39:$S$44)</f>
        <v>0</v>
      </c>
      <c r="BX43" s="32">
        <f>BS43*3+BT43</f>
        <v>0</v>
      </c>
      <c r="BY43" s="32">
        <f>0.1+BV43+(BV43-BW43)*100+BS43*1000+BX43*10000</f>
        <v>0.1</v>
      </c>
      <c r="BZ43" s="12"/>
      <c r="CA43" s="12"/>
    </row>
    <row r="44" spans="1:81" ht="13.5" customHeight="1" thickBot="1" x14ac:dyDescent="0.3">
      <c r="A44" s="13"/>
      <c r="B44" s="7" t="s">
        <v>75</v>
      </c>
      <c r="C44" s="7" t="s">
        <v>73</v>
      </c>
      <c r="D44" s="11" t="s">
        <v>9</v>
      </c>
      <c r="E44" s="7" t="s">
        <v>68</v>
      </c>
      <c r="F44" s="14">
        <f>[1]Ergebniss!G44</f>
        <v>0</v>
      </c>
      <c r="G44" s="15" t="s">
        <v>11</v>
      </c>
      <c r="H44" s="14">
        <f>[1]Ergebniss!I44</f>
        <v>0</v>
      </c>
      <c r="I44" s="11"/>
      <c r="J44" s="87"/>
      <c r="K44" s="15" t="s">
        <v>11</v>
      </c>
      <c r="L44" s="88"/>
      <c r="M44" s="16" t="str">
        <f>IF(OR(ISBLANK([1]Ergebniss!I44)),"",
IF(AND(L44=$H44,$F44=J44),3,IF(L44-J44=$H44-$F44,2,
IF(OR(AND($F44&lt;$H44,J44&lt;L44),AND($F44&gt;$H44,J44&gt;L44)),1,0))))</f>
        <v/>
      </c>
      <c r="N44" s="17"/>
      <c r="O44" s="7"/>
      <c r="P44" s="18" t="str">
        <f t="shared" si="36"/>
        <v>Schweiz</v>
      </c>
      <c r="Q44" s="18">
        <f t="shared" si="37"/>
        <v>0</v>
      </c>
      <c r="R44" s="18" t="str">
        <f t="shared" si="38"/>
        <v>Schweiz</v>
      </c>
      <c r="S44" s="18">
        <f t="shared" si="39"/>
        <v>0</v>
      </c>
      <c r="T44" s="18" t="str">
        <f t="shared" si="40"/>
        <v>Costa Rica</v>
      </c>
      <c r="U44" s="19">
        <f t="shared" si="41"/>
        <v>0</v>
      </c>
      <c r="V44" s="19" t="str">
        <f t="shared" si="42"/>
        <v>Costa Rica</v>
      </c>
      <c r="W44" s="19">
        <f t="shared" si="43"/>
        <v>0</v>
      </c>
      <c r="X44" s="19" t="str">
        <f t="shared" si="44"/>
        <v/>
      </c>
      <c r="Y44" s="19" t="str">
        <f t="shared" si="45"/>
        <v/>
      </c>
      <c r="Z44" s="19"/>
      <c r="AV44" s="7"/>
      <c r="AW44" s="44"/>
      <c r="AX44" s="45"/>
      <c r="AY44" s="45"/>
      <c r="AZ44" s="58"/>
      <c r="BA44" s="45"/>
      <c r="BB44" s="45"/>
      <c r="BC44" s="45"/>
      <c r="BD44" s="46"/>
      <c r="BE44" s="46"/>
      <c r="BF44" s="46"/>
      <c r="BG44" s="46"/>
      <c r="BH44" s="46"/>
      <c r="BI44" s="47"/>
      <c r="BJ44" s="7"/>
    </row>
    <row r="45" spans="1:81" ht="7.5" customHeight="1" thickBot="1" x14ac:dyDescent="0.3">
      <c r="A45" s="44"/>
      <c r="B45" s="45"/>
      <c r="C45" s="45"/>
      <c r="D45" s="46"/>
      <c r="E45" s="45"/>
      <c r="F45" s="15"/>
      <c r="G45" s="15"/>
      <c r="H45" s="15"/>
      <c r="I45" s="11"/>
      <c r="J45" s="28"/>
      <c r="K45" s="28"/>
      <c r="L45" s="28"/>
      <c r="M45" s="16" t="s">
        <v>32</v>
      </c>
      <c r="N45" s="47"/>
      <c r="O45" s="7"/>
      <c r="P45" s="18"/>
      <c r="Q45" s="18"/>
      <c r="R45" s="18"/>
      <c r="S45" s="18"/>
      <c r="T45" s="18"/>
      <c r="U45" s="19"/>
      <c r="V45" s="19"/>
      <c r="W45" s="19"/>
      <c r="X45" s="19"/>
      <c r="Y45" s="19"/>
      <c r="Z45" s="19"/>
      <c r="AV45" s="7"/>
      <c r="BJ45" s="7"/>
    </row>
    <row r="46" spans="1:81" ht="12.75" customHeight="1" thickBot="1" x14ac:dyDescent="0.3">
      <c r="F46" s="52"/>
      <c r="G46" s="52"/>
      <c r="H46" s="52"/>
      <c r="I46" s="53"/>
      <c r="J46" s="54"/>
      <c r="K46" s="54"/>
      <c r="L46" s="54"/>
      <c r="M46" s="55" t="s">
        <v>32</v>
      </c>
      <c r="P46" s="18"/>
      <c r="Q46" s="18"/>
      <c r="R46" s="18"/>
      <c r="S46" s="18"/>
      <c r="T46" s="18"/>
      <c r="U46" s="19"/>
      <c r="V46" s="19"/>
      <c r="W46" s="19"/>
      <c r="X46" s="19"/>
      <c r="Y46" s="19"/>
      <c r="Z46" s="19"/>
      <c r="BJ46" s="7"/>
    </row>
    <row r="47" spans="1:81" ht="13.5" customHeight="1" thickBot="1" x14ac:dyDescent="0.25">
      <c r="A47" s="1"/>
      <c r="B47" s="2" t="s">
        <v>77</v>
      </c>
      <c r="C47" s="3"/>
      <c r="D47" s="4"/>
      <c r="E47" s="3"/>
      <c r="F47" s="102" t="s">
        <v>1</v>
      </c>
      <c r="G47" s="102"/>
      <c r="H47" s="102"/>
      <c r="I47" s="56"/>
      <c r="J47" s="92"/>
      <c r="K47" s="92"/>
      <c r="L47" s="92"/>
      <c r="M47" s="5" t="s">
        <v>2</v>
      </c>
      <c r="N47" s="6"/>
      <c r="O47" s="7"/>
      <c r="P47" s="18"/>
      <c r="Q47" s="18"/>
      <c r="R47" s="18"/>
      <c r="S47" s="18"/>
      <c r="T47" s="18"/>
      <c r="U47" s="19"/>
      <c r="V47" s="19"/>
      <c r="W47" s="19"/>
      <c r="X47" s="19"/>
      <c r="Y47" s="19"/>
      <c r="Z47" s="19"/>
      <c r="AC47" s="103" t="s">
        <v>77</v>
      </c>
      <c r="AD47" s="105" t="s">
        <v>3</v>
      </c>
      <c r="AE47" s="105" t="s">
        <v>4</v>
      </c>
      <c r="AF47" s="105" t="s">
        <v>5</v>
      </c>
      <c r="AG47" s="105" t="s">
        <v>6</v>
      </c>
      <c r="AH47" s="107" t="s">
        <v>2</v>
      </c>
      <c r="AI47" s="9"/>
      <c r="BJ47" s="7"/>
      <c r="BK47" s="9"/>
      <c r="BL47" s="9"/>
      <c r="BM47" s="9"/>
      <c r="BN47" s="9"/>
      <c r="BO47" s="9"/>
    </row>
    <row r="48" spans="1:81" ht="13.5" customHeight="1" thickBot="1" x14ac:dyDescent="0.3">
      <c r="A48" s="13"/>
      <c r="B48" s="57" t="s">
        <v>67</v>
      </c>
      <c r="C48" s="7" t="s">
        <v>78</v>
      </c>
      <c r="D48" s="11" t="s">
        <v>9</v>
      </c>
      <c r="E48" s="7" t="s">
        <v>79</v>
      </c>
      <c r="F48" s="14">
        <f>[1]Ergebniss!G48</f>
        <v>0</v>
      </c>
      <c r="G48" s="15" t="s">
        <v>11</v>
      </c>
      <c r="H48" s="14">
        <f>[1]Ergebniss!I48</f>
        <v>0</v>
      </c>
      <c r="I48" s="11"/>
      <c r="J48" s="87"/>
      <c r="K48" s="15" t="s">
        <v>11</v>
      </c>
      <c r="L48" s="87"/>
      <c r="M48" s="16" t="str">
        <f>IF(OR(ISBLANK([1]Ergebniss!I48)),"",
IF(AND(L48=$H48,$F48=J48),3,IF(L48-J48=$H48-$F48,2,
IF(OR(AND($F48&lt;$H48,J48&lt;L48),AND($F48&gt;$H48,J48&gt;L48)),1,0))))</f>
        <v/>
      </c>
      <c r="N48" s="17"/>
      <c r="O48" s="7"/>
      <c r="P48" s="18" t="str">
        <f t="shared" ref="P48:P53" si="46">C48</f>
        <v>Deutschland</v>
      </c>
      <c r="Q48" s="18">
        <f t="shared" ref="Q48:Q53" si="47">J48</f>
        <v>0</v>
      </c>
      <c r="R48" s="18" t="str">
        <f t="shared" ref="R48:R53" si="48">C48</f>
        <v>Deutschland</v>
      </c>
      <c r="S48" s="18">
        <f t="shared" ref="S48:S53" si="49">L48</f>
        <v>0</v>
      </c>
      <c r="T48" s="18" t="str">
        <f t="shared" ref="T48:T53" si="50">E48</f>
        <v>Mexiko</v>
      </c>
      <c r="U48" s="19">
        <f t="shared" ref="U48:U53" si="51">L48</f>
        <v>0</v>
      </c>
      <c r="V48" s="19" t="str">
        <f t="shared" ref="V48:V53" si="52">E48</f>
        <v>Mexiko</v>
      </c>
      <c r="W48" s="19">
        <f t="shared" ref="W48:W53" si="53">J48</f>
        <v>0</v>
      </c>
      <c r="X48" s="19" t="str">
        <f t="shared" ref="X48:X53" si="54">IF(J48="","",IF(L48="","",IF(J48&gt;L48,CONCATENATE(C48,"_win"),IF(J48&lt;L48,CONCATENATE(C48,"_lose"),CONCATENATE(C48,"_draw")))))</f>
        <v/>
      </c>
      <c r="Y48" s="19" t="str">
        <f t="shared" ref="Y48:Y53" si="55">IF(J48="","",IF(L48="","",IF(J48&gt;L48,CONCATENATE(E48,"_lose"),IF(J48&lt;L48,CONCATENATE(E48,"_win"),CONCATENATE(E48,"_draw")))))</f>
        <v/>
      </c>
      <c r="Z48" s="19"/>
      <c r="AC48" s="104"/>
      <c r="AD48" s="106"/>
      <c r="AE48" s="106"/>
      <c r="AF48" s="106"/>
      <c r="AG48" s="106"/>
      <c r="AH48" s="108"/>
      <c r="AI48" s="9"/>
      <c r="AJ48" s="90" t="s">
        <v>80</v>
      </c>
      <c r="AK48" s="91"/>
      <c r="AL48" s="91"/>
      <c r="AM48" s="91"/>
      <c r="AN48" s="91"/>
      <c r="AO48" s="2"/>
      <c r="AP48" s="92"/>
      <c r="AQ48" s="92"/>
      <c r="AR48" s="92"/>
      <c r="AS48" s="2"/>
      <c r="AT48" s="20" t="s">
        <v>13</v>
      </c>
      <c r="AU48" s="21"/>
      <c r="AV48" s="7"/>
      <c r="AW48" s="90" t="s">
        <v>81</v>
      </c>
      <c r="AX48" s="91"/>
      <c r="AY48" s="91"/>
      <c r="AZ48" s="91"/>
      <c r="BA48" s="91"/>
      <c r="BB48" s="91"/>
      <c r="BC48" s="2"/>
      <c r="BD48" s="92" t="s">
        <v>31</v>
      </c>
      <c r="BE48" s="92"/>
      <c r="BF48" s="92"/>
      <c r="BG48" s="2"/>
      <c r="BH48" s="5" t="s">
        <v>13</v>
      </c>
      <c r="BI48" s="21"/>
      <c r="BJ48" s="7"/>
      <c r="BK48" s="9"/>
      <c r="BL48" s="9"/>
      <c r="BM48" s="9"/>
      <c r="BN48" s="9"/>
      <c r="BO48" s="9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</row>
    <row r="49" spans="1:79" ht="13.5" customHeight="1" x14ac:dyDescent="0.25">
      <c r="A49" s="13"/>
      <c r="B49" s="7" t="s">
        <v>82</v>
      </c>
      <c r="C49" s="7" t="s">
        <v>83</v>
      </c>
      <c r="D49" s="11" t="s">
        <v>9</v>
      </c>
      <c r="E49" s="7" t="s">
        <v>84</v>
      </c>
      <c r="F49" s="14">
        <f>[1]Ergebniss!G49</f>
        <v>0</v>
      </c>
      <c r="G49" s="15" t="s">
        <v>11</v>
      </c>
      <c r="H49" s="14">
        <f>[1]Ergebniss!I49</f>
        <v>0</v>
      </c>
      <c r="I49" s="11"/>
      <c r="J49" s="88"/>
      <c r="K49" s="15" t="s">
        <v>11</v>
      </c>
      <c r="L49" s="88"/>
      <c r="M49" s="16" t="str">
        <f>IF(OR(ISBLANK([1]Ergebniss!I49)),"",
IF(AND(L49=$H49,$F49=J49),3,IF(L49-J49=$H49-$F49,2,
IF(OR(AND($F49&lt;$H49,J49&lt;L49),AND($F49&gt;$H49,J49&gt;L49)),1,0))))</f>
        <v/>
      </c>
      <c r="N49" s="17"/>
      <c r="O49" s="7"/>
      <c r="P49" s="18" t="str">
        <f t="shared" si="46"/>
        <v>Schweden</v>
      </c>
      <c r="Q49" s="18">
        <f t="shared" si="47"/>
        <v>0</v>
      </c>
      <c r="R49" s="18" t="str">
        <f t="shared" si="48"/>
        <v>Schweden</v>
      </c>
      <c r="S49" s="18">
        <f t="shared" si="49"/>
        <v>0</v>
      </c>
      <c r="T49" s="18" t="str">
        <f t="shared" si="50"/>
        <v>Südkorea</v>
      </c>
      <c r="U49" s="19">
        <f t="shared" si="51"/>
        <v>0</v>
      </c>
      <c r="V49" s="19" t="str">
        <f t="shared" si="52"/>
        <v>Südkorea</v>
      </c>
      <c r="W49" s="19">
        <f t="shared" si="53"/>
        <v>0</v>
      </c>
      <c r="X49" s="19" t="str">
        <f t="shared" si="54"/>
        <v/>
      </c>
      <c r="Y49" s="19" t="str">
        <f t="shared" si="55"/>
        <v/>
      </c>
      <c r="Z49" s="19"/>
      <c r="AC49" s="23" t="str">
        <f>VLOOKUP(4,BQ50:BX53,2,FALSE)</f>
        <v>Deutschland</v>
      </c>
      <c r="AD49" s="24">
        <f>VLOOKUP(4,BQ50:BX53,3,FALSE)</f>
        <v>0</v>
      </c>
      <c r="AE49" s="24">
        <f>VLOOKUP(4,BQ50:BX53,4,FALSE)</f>
        <v>0</v>
      </c>
      <c r="AF49" s="24">
        <f>VLOOKUP(4,BQ50:BX53,5,FALSE)</f>
        <v>0</v>
      </c>
      <c r="AG49" s="24" t="str">
        <f>CONCATENATE(VLOOKUP(4,BQ50:BX53,6,FALSE)," - ",VLOOKUP(4,BQ50:BX53,7,FALSE))</f>
        <v>0 - 0</v>
      </c>
      <c r="AH49" s="25">
        <f>VLOOKUP(4,BQ50:BX53,8,FALSE)</f>
        <v>0</v>
      </c>
      <c r="AI49" s="26"/>
      <c r="AJ49" s="95" t="s">
        <v>25</v>
      </c>
      <c r="AK49" s="96"/>
      <c r="AL49" s="27" t="str">
        <f>CA60</f>
        <v>Sieger Gruppe G</v>
      </c>
      <c r="AM49" s="7" t="s">
        <v>9</v>
      </c>
      <c r="AN49" s="27" t="str">
        <f>CA70</f>
        <v>Zweiter Gruppe H</v>
      </c>
      <c r="AO49" s="7"/>
      <c r="AP49" s="87"/>
      <c r="AQ49" s="15" t="s">
        <v>11</v>
      </c>
      <c r="AR49" s="87"/>
      <c r="AS49" s="11"/>
      <c r="AT49" s="29"/>
      <c r="AU49" s="30"/>
      <c r="AV49" s="7"/>
      <c r="AW49" s="49"/>
      <c r="AX49" s="96" t="s">
        <v>25</v>
      </c>
      <c r="AY49" s="96"/>
      <c r="AZ49" s="59" t="str">
        <f>CC24</f>
        <v>Sieger 3. Viertelfinale</v>
      </c>
      <c r="BA49" s="7" t="s">
        <v>9</v>
      </c>
      <c r="BB49" s="27" t="str">
        <f>CC25</f>
        <v>Sieger 4. Viertelfinale</v>
      </c>
      <c r="BC49" s="7"/>
      <c r="BD49" s="87"/>
      <c r="BE49" s="15" t="s">
        <v>11</v>
      </c>
      <c r="BF49" s="87"/>
      <c r="BG49" s="11"/>
      <c r="BH49" s="29"/>
      <c r="BI49" s="30"/>
      <c r="BJ49" s="7"/>
      <c r="BK49" s="26"/>
      <c r="BL49" s="26"/>
      <c r="BM49" s="26"/>
      <c r="BN49" s="26"/>
      <c r="BO49" s="26"/>
      <c r="BP49" s="12"/>
      <c r="BQ49" s="22" t="s">
        <v>15</v>
      </c>
      <c r="BR49" s="22" t="s">
        <v>77</v>
      </c>
      <c r="BS49" s="22" t="s">
        <v>16</v>
      </c>
      <c r="BT49" s="22" t="s">
        <v>17</v>
      </c>
      <c r="BU49" s="22" t="s">
        <v>18</v>
      </c>
      <c r="BV49" s="22" t="s">
        <v>6</v>
      </c>
      <c r="BW49" s="22" t="s">
        <v>19</v>
      </c>
      <c r="BX49" s="22" t="s">
        <v>2</v>
      </c>
      <c r="BY49" s="22" t="s">
        <v>20</v>
      </c>
      <c r="BZ49" s="12"/>
      <c r="CA49" s="12"/>
    </row>
    <row r="50" spans="1:79" ht="13.5" customHeight="1" thickBot="1" x14ac:dyDescent="0.3">
      <c r="A50" s="13"/>
      <c r="B50" s="7" t="s">
        <v>85</v>
      </c>
      <c r="C50" s="7" t="s">
        <v>84</v>
      </c>
      <c r="D50" s="11" t="s">
        <v>9</v>
      </c>
      <c r="E50" s="7" t="s">
        <v>79</v>
      </c>
      <c r="F50" s="14">
        <f>[1]Ergebniss!G50</f>
        <v>0</v>
      </c>
      <c r="G50" s="15" t="s">
        <v>11</v>
      </c>
      <c r="H50" s="14">
        <f>[1]Ergebniss!I50</f>
        <v>0</v>
      </c>
      <c r="I50" s="11"/>
      <c r="J50" s="87"/>
      <c r="K50" s="15" t="s">
        <v>11</v>
      </c>
      <c r="L50" s="88"/>
      <c r="M50" s="16" t="str">
        <f>IF(OR(ISBLANK([1]Ergebniss!I50)),"",
IF(AND(L50=$H50,$F50=J50),3,IF(L50-J50=$H50-$F50,2,
IF(OR(AND($F50&lt;$H50,J50&lt;L50),AND($F50&gt;$H50,J50&gt;L50)),1,0))))</f>
        <v/>
      </c>
      <c r="N50" s="17"/>
      <c r="O50" s="7"/>
      <c r="P50" s="18" t="str">
        <f t="shared" si="46"/>
        <v>Südkorea</v>
      </c>
      <c r="Q50" s="18">
        <f t="shared" si="47"/>
        <v>0</v>
      </c>
      <c r="R50" s="18" t="str">
        <f t="shared" si="48"/>
        <v>Südkorea</v>
      </c>
      <c r="S50" s="18">
        <f t="shared" si="49"/>
        <v>0</v>
      </c>
      <c r="T50" s="18" t="str">
        <f t="shared" si="50"/>
        <v>Mexiko</v>
      </c>
      <c r="U50" s="19">
        <f t="shared" si="51"/>
        <v>0</v>
      </c>
      <c r="V50" s="19" t="str">
        <f t="shared" si="52"/>
        <v>Mexiko</v>
      </c>
      <c r="W50" s="19">
        <f t="shared" si="53"/>
        <v>0</v>
      </c>
      <c r="X50" s="19" t="str">
        <f t="shared" si="54"/>
        <v/>
      </c>
      <c r="Y50" s="19" t="str">
        <f t="shared" si="55"/>
        <v/>
      </c>
      <c r="Z50" s="19"/>
      <c r="AC50" s="34" t="str">
        <f>VLOOKUP(3,BQ50:BX53,2,FALSE)</f>
        <v>Mexiko</v>
      </c>
      <c r="AD50" s="35">
        <f>VLOOKUP(3,BQ50:BX53,3,FALSE)</f>
        <v>0</v>
      </c>
      <c r="AE50" s="35">
        <f>VLOOKUP(3,BQ50:BX53,4,FALSE)</f>
        <v>0</v>
      </c>
      <c r="AF50" s="35">
        <f>VLOOKUP(3,BQ50:BX53,5,FALSE)</f>
        <v>0</v>
      </c>
      <c r="AG50" s="35" t="str">
        <f>CONCATENATE(VLOOKUP(3,BQ50:BX53,6,FALSE)," - ",VLOOKUP(3,BQ50:BX53,7,FALSE))</f>
        <v>0 - 0</v>
      </c>
      <c r="AH50" s="36">
        <f>VLOOKUP(3,BQ50:BX53,8,FALSE)</f>
        <v>0</v>
      </c>
      <c r="AI50" s="26"/>
      <c r="AJ50" s="13"/>
      <c r="AK50" s="7"/>
      <c r="AL50" s="7"/>
      <c r="AM50" s="7"/>
      <c r="AN50" s="7"/>
      <c r="AO50" s="7"/>
      <c r="AP50" s="11"/>
      <c r="AQ50" s="11"/>
      <c r="AR50" s="11"/>
      <c r="AS50" s="11"/>
      <c r="AT50" s="11"/>
      <c r="AU50" s="17"/>
      <c r="AV50" s="7"/>
      <c r="AW50" s="13"/>
      <c r="AX50" s="7"/>
      <c r="AY50" s="7"/>
      <c r="AZ50" s="33"/>
      <c r="BA50" s="7"/>
      <c r="BB50" s="7"/>
      <c r="BC50" s="7"/>
      <c r="BD50" s="11"/>
      <c r="BE50" s="7"/>
      <c r="BF50" s="11"/>
      <c r="BG50" s="7"/>
      <c r="BH50" s="60"/>
      <c r="BI50" s="17"/>
      <c r="BJ50" s="7"/>
      <c r="BK50" s="26"/>
      <c r="BL50" s="26"/>
      <c r="BM50" s="26"/>
      <c r="BN50" s="26"/>
      <c r="BO50" s="26"/>
      <c r="BP50" s="12"/>
      <c r="BQ50" s="22">
        <f>IF(BY50&gt;BY50,1,0)+IF(BY50&gt;BY51,1,0)+IF(BY50&gt;BY52,1,0)+IF(BY50&gt;BY53,1,0)+1</f>
        <v>4</v>
      </c>
      <c r="BR50" s="31" t="s">
        <v>78</v>
      </c>
      <c r="BS50" s="32">
        <f>COUNTIF($X$48:$Z$53,CONCATENATE(BR50,"_win"))</f>
        <v>0</v>
      </c>
      <c r="BT50" s="32">
        <f>COUNTIF($X$48:$Z$53,CONCATENATE(BR50,"_draw"))</f>
        <v>0</v>
      </c>
      <c r="BU50" s="32">
        <f>COUNTIF($X$48:$Z$53,CONCATENATE(BR50,"_lose"))</f>
        <v>0</v>
      </c>
      <c r="BV50" s="32">
        <f>SUMIF($T$48:$T$53,CONCATENATE("=",BR50),$U$48:$U$53)+SUMIF($P$48:$P$53,CONCATENATE("=",BR50),$Q$48:$Q$53)</f>
        <v>0</v>
      </c>
      <c r="BW50" s="32">
        <f>SUMIF($V$48:$V$53,CONCATENATE("=",BR50),$W$48:$W$53)+SUMIF($R$48:$R$53,CONCATENATE("=",BR50),$S$48:$S$53)</f>
        <v>0</v>
      </c>
      <c r="BX50" s="32">
        <f>BS50*3+BT50</f>
        <v>0</v>
      </c>
      <c r="BY50" s="32">
        <f>0.4+BV50+(BV50-BW50)*100+BS50*1000+BX50*10000</f>
        <v>0.4</v>
      </c>
      <c r="BZ50" s="12"/>
      <c r="CA50" s="31" t="str">
        <f>IF(SUM(BS50:BU53)=12,AC49,"Sieger Gruppe F")</f>
        <v>Sieger Gruppe F</v>
      </c>
    </row>
    <row r="51" spans="1:79" ht="13.5" customHeight="1" x14ac:dyDescent="0.25">
      <c r="A51" s="13"/>
      <c r="B51" s="7" t="s">
        <v>85</v>
      </c>
      <c r="C51" s="7" t="s">
        <v>78</v>
      </c>
      <c r="D51" s="11" t="s">
        <v>9</v>
      </c>
      <c r="E51" s="7" t="s">
        <v>83</v>
      </c>
      <c r="F51" s="14">
        <f>[1]Ergebniss!G51</f>
        <v>0</v>
      </c>
      <c r="G51" s="15" t="s">
        <v>11</v>
      </c>
      <c r="H51" s="14">
        <f>[1]Ergebniss!I51</f>
        <v>0</v>
      </c>
      <c r="I51" s="11"/>
      <c r="J51" s="88"/>
      <c r="K51" s="15" t="s">
        <v>11</v>
      </c>
      <c r="L51" s="88"/>
      <c r="M51" s="16" t="str">
        <f>IF(OR(ISBLANK([1]Ergebniss!I51)),"",
IF(AND(L51=$H51,$F51=J51),3,IF(L51-J51=$H51-$F51,2,
IF(OR(AND($F51&lt;$H51,J51&lt;L51),AND($F51&gt;$H51,J51&gt;L51)),1,0))))</f>
        <v/>
      </c>
      <c r="N51" s="17"/>
      <c r="O51" s="7"/>
      <c r="P51" s="18" t="str">
        <f t="shared" si="46"/>
        <v>Deutschland</v>
      </c>
      <c r="Q51" s="18">
        <f t="shared" si="47"/>
        <v>0</v>
      </c>
      <c r="R51" s="18" t="str">
        <f t="shared" si="48"/>
        <v>Deutschland</v>
      </c>
      <c r="S51" s="18">
        <f t="shared" si="49"/>
        <v>0</v>
      </c>
      <c r="T51" s="18" t="str">
        <f t="shared" si="50"/>
        <v>Schweden</v>
      </c>
      <c r="U51" s="19">
        <f t="shared" si="51"/>
        <v>0</v>
      </c>
      <c r="V51" s="19" t="str">
        <f t="shared" si="52"/>
        <v>Schweden</v>
      </c>
      <c r="W51" s="19">
        <f t="shared" si="53"/>
        <v>0</v>
      </c>
      <c r="X51" s="19" t="str">
        <f t="shared" si="54"/>
        <v/>
      </c>
      <c r="Y51" s="19" t="str">
        <f t="shared" si="55"/>
        <v/>
      </c>
      <c r="Z51" s="19"/>
      <c r="AA51" s="11"/>
      <c r="AC51" s="38" t="str">
        <f>VLOOKUP(2,BQ50:BX53,2,FALSE)</f>
        <v>Schweden</v>
      </c>
      <c r="AD51" s="26">
        <f>VLOOKUP(2,BQ50:BX53,3,FALSE)</f>
        <v>0</v>
      </c>
      <c r="AE51" s="26">
        <f>VLOOKUP(2,BQ50:BX53,4,FALSE)</f>
        <v>0</v>
      </c>
      <c r="AF51" s="26">
        <f>VLOOKUP(2,BQ50:BX53,5,FALSE)</f>
        <v>0</v>
      </c>
      <c r="AG51" s="26" t="str">
        <f>CONCATENATE(VLOOKUP(2,BQ50:BX53,6,FALSE)," - ",VLOOKUP(2,BQ50:BX53,7,FALSE))</f>
        <v>0 - 0</v>
      </c>
      <c r="AH51" s="39">
        <f>VLOOKUP(2,BQ50:BX53,8,FALSE)</f>
        <v>0</v>
      </c>
      <c r="AI51" s="26"/>
      <c r="AJ51" s="99" t="s">
        <v>74</v>
      </c>
      <c r="AK51" s="100"/>
      <c r="AL51" s="7" t="str">
        <f>[1]Ergebniss!AH49</f>
        <v>Sieger Gruppe G</v>
      </c>
      <c r="AM51" s="7" t="s">
        <v>9</v>
      </c>
      <c r="AN51" s="7" t="str">
        <f>[1]Ergebniss!AJ49</f>
        <v>Zweiter Gruppe H</v>
      </c>
      <c r="AO51" s="7"/>
      <c r="AP51" s="40"/>
      <c r="AQ51" s="40"/>
      <c r="AR51" s="40"/>
      <c r="AS51" s="11"/>
      <c r="AT51" s="29"/>
      <c r="AU51" s="17"/>
      <c r="AV51" s="11"/>
      <c r="AW51" s="13"/>
      <c r="AX51" s="100" t="s">
        <v>86</v>
      </c>
      <c r="AY51" s="100"/>
      <c r="AZ51" s="109" t="str">
        <f>[1]Ergebniss!AT49</f>
        <v>Sieger 7. Achtelfinale</v>
      </c>
      <c r="BA51" s="100" t="s">
        <v>9</v>
      </c>
      <c r="BB51" s="111" t="str">
        <f>[1]Ergebniss!AV49</f>
        <v>Sieger 3. Achtelfinale</v>
      </c>
      <c r="BC51" s="7"/>
      <c r="BD51" s="101">
        <v>0</v>
      </c>
      <c r="BE51" s="101" t="s">
        <v>11</v>
      </c>
      <c r="BF51" s="101">
        <v>2</v>
      </c>
      <c r="BG51" s="7"/>
      <c r="BH51" s="100"/>
      <c r="BI51" s="17"/>
      <c r="BJ51" s="7"/>
      <c r="BK51" s="26"/>
      <c r="BL51" s="26"/>
      <c r="BM51" s="26"/>
      <c r="BN51" s="26"/>
      <c r="BO51" s="26"/>
      <c r="BP51" s="12"/>
      <c r="BQ51" s="22">
        <f>IF(BY51&gt;BY50,1,0)+IF(BY51&gt;BY51,1,0)+IF(BY51&gt;BY52,1,0)+IF(BY51&gt;BY53,1,0)+1</f>
        <v>3</v>
      </c>
      <c r="BR51" s="31" t="s">
        <v>79</v>
      </c>
      <c r="BS51" s="32">
        <f>COUNTIF($X$48:$Z$53,CONCATENATE(BR51,"_win"))</f>
        <v>0</v>
      </c>
      <c r="BT51" s="32">
        <f>COUNTIF($X$48:$Z$53,CONCATENATE(BR51,"_draw"))</f>
        <v>0</v>
      </c>
      <c r="BU51" s="32">
        <f>COUNTIF($X$48:$Z$53,CONCATENATE(BR51,"_lose"))</f>
        <v>0</v>
      </c>
      <c r="BV51" s="32">
        <f>SUMIF($T$48:$T$53,CONCATENATE("=",BR51),$U$48:$U$53)+SUMIF($P$48:$P$53,CONCATENATE("=",BR51),$Q$48:$Q$53)</f>
        <v>0</v>
      </c>
      <c r="BW51" s="32">
        <f>SUMIF($V$48:$V$53,CONCATENATE("=",BR51),$W$48:$W$53)+SUMIF($R$48:$R$53,CONCATENATE("=",BR51),$S$48:$S$53)</f>
        <v>0</v>
      </c>
      <c r="BX51" s="32">
        <f>BS51*3+BT51</f>
        <v>0</v>
      </c>
      <c r="BY51" s="32">
        <f>0.3+BV51+(BV51-BW51)*100+BS51*1000+BX51*10000</f>
        <v>0.3</v>
      </c>
      <c r="BZ51" s="12"/>
      <c r="CA51" s="31" t="str">
        <f>IF(SUM(BS50:BU53)=12,AC50,"Zweiter Gruppe F")</f>
        <v>Zweiter Gruppe F</v>
      </c>
    </row>
    <row r="52" spans="1:79" ht="13.5" customHeight="1" thickBot="1" x14ac:dyDescent="0.3">
      <c r="A52" s="13"/>
      <c r="B52" s="7" t="s">
        <v>75</v>
      </c>
      <c r="C52" s="7" t="s">
        <v>79</v>
      </c>
      <c r="D52" s="11" t="s">
        <v>9</v>
      </c>
      <c r="E52" s="7" t="s">
        <v>83</v>
      </c>
      <c r="F52" s="14">
        <f>[1]Ergebniss!G52</f>
        <v>0</v>
      </c>
      <c r="G52" s="15" t="s">
        <v>11</v>
      </c>
      <c r="H52" s="14">
        <f>[1]Ergebniss!I52</f>
        <v>0</v>
      </c>
      <c r="I52" s="11"/>
      <c r="J52" s="87"/>
      <c r="K52" s="15" t="s">
        <v>11</v>
      </c>
      <c r="L52" s="88"/>
      <c r="M52" s="16" t="str">
        <f>IF(OR(ISBLANK([1]Ergebniss!I52)),"",
IF(AND(L52=$H52,$F52=J52),3,IF(L52-J52=$H52-$F52,2,
IF(OR(AND($F52&lt;$H52,J52&lt;L52),AND($F52&gt;$H52,J52&gt;L52)),1,0))))</f>
        <v/>
      </c>
      <c r="N52" s="17"/>
      <c r="O52" s="7"/>
      <c r="P52" s="18" t="str">
        <f t="shared" si="46"/>
        <v>Mexiko</v>
      </c>
      <c r="Q52" s="18">
        <f t="shared" si="47"/>
        <v>0</v>
      </c>
      <c r="R52" s="18" t="str">
        <f t="shared" si="48"/>
        <v>Mexiko</v>
      </c>
      <c r="S52" s="18">
        <f t="shared" si="49"/>
        <v>0</v>
      </c>
      <c r="T52" s="18" t="str">
        <f t="shared" si="50"/>
        <v>Schweden</v>
      </c>
      <c r="U52" s="19">
        <f t="shared" si="51"/>
        <v>0</v>
      </c>
      <c r="V52" s="19" t="str">
        <f t="shared" si="52"/>
        <v>Schweden</v>
      </c>
      <c r="W52" s="19">
        <f t="shared" si="53"/>
        <v>0</v>
      </c>
      <c r="X52" s="19" t="str">
        <f t="shared" si="54"/>
        <v/>
      </c>
      <c r="Y52" s="19" t="str">
        <f t="shared" si="55"/>
        <v/>
      </c>
      <c r="Z52" s="19"/>
      <c r="AA52" s="7"/>
      <c r="AC52" s="41" t="str">
        <f>VLOOKUP(1,BQ50:BX53,2,FALSE)</f>
        <v>Südkorea</v>
      </c>
      <c r="AD52" s="42">
        <f>VLOOKUP(1,BQ50:BX53,3,FALSE)</f>
        <v>0</v>
      </c>
      <c r="AE52" s="42">
        <f>VLOOKUP(1,BQ50:BX53,4,FALSE)</f>
        <v>0</v>
      </c>
      <c r="AF52" s="42">
        <f>VLOOKUP(1,BQ50:BX53,5,FALSE)</f>
        <v>0</v>
      </c>
      <c r="AG52" s="42" t="str">
        <f>CONCATENATE(VLOOKUP(1,BQ50:BX53,6,FALSE)," - ",VLOOKUP(1,BQ50:BX53,7,FALSE))</f>
        <v>0 - 0</v>
      </c>
      <c r="AH52" s="43">
        <f>VLOOKUP(1,BQ50:BX53,8,FALSE)</f>
        <v>0</v>
      </c>
      <c r="AI52" s="26"/>
      <c r="AJ52" s="44"/>
      <c r="AK52" s="45"/>
      <c r="AL52" s="45"/>
      <c r="AM52" s="45"/>
      <c r="AN52" s="45"/>
      <c r="AO52" s="45"/>
      <c r="AP52" s="46"/>
      <c r="AQ52" s="46"/>
      <c r="AR52" s="46"/>
      <c r="AS52" s="46"/>
      <c r="AT52" s="46"/>
      <c r="AU52" s="47"/>
      <c r="AV52" s="7"/>
      <c r="AW52" s="13"/>
      <c r="AX52" s="100"/>
      <c r="AY52" s="100"/>
      <c r="AZ52" s="109"/>
      <c r="BA52" s="100"/>
      <c r="BB52" s="111"/>
      <c r="BC52" s="7"/>
      <c r="BD52" s="101"/>
      <c r="BE52" s="101"/>
      <c r="BF52" s="101"/>
      <c r="BG52" s="11"/>
      <c r="BH52" s="110"/>
      <c r="BI52" s="17"/>
      <c r="BJ52" s="7"/>
      <c r="BK52" s="26"/>
      <c r="BL52" s="26"/>
      <c r="BM52" s="26"/>
      <c r="BN52" s="26"/>
      <c r="BO52" s="26"/>
      <c r="BP52" s="12"/>
      <c r="BQ52" s="22">
        <f>IF(BY52&gt;BY50,1,0)+IF(BY52&gt;BY51,1,0)+IF(BY52&gt;BY52,1,0)+IF(BY52&gt;BY53,1,0)+1</f>
        <v>2</v>
      </c>
      <c r="BR52" s="31" t="s">
        <v>83</v>
      </c>
      <c r="BS52" s="32">
        <f>COUNTIF($X$48:$Z$53,CONCATENATE(BR52,"_win"))</f>
        <v>0</v>
      </c>
      <c r="BT52" s="32">
        <f>COUNTIF($X$48:$Z$53,CONCATENATE(BR52,"_draw"))</f>
        <v>0</v>
      </c>
      <c r="BU52" s="32">
        <f>COUNTIF($X$48:$Z$53,CONCATENATE(BR52,"_lose"))</f>
        <v>0</v>
      </c>
      <c r="BV52" s="32">
        <f>SUMIF($T$48:$T$53,CONCATENATE("=",BR52),$U$48:$U$53)+SUMIF($P$48:$P$53,CONCATENATE("=",BR52),$Q$48:$Q$53)</f>
        <v>0</v>
      </c>
      <c r="BW52" s="32">
        <f>SUMIF($V$48:$V$53,CONCATENATE("=",BR52),$W$48:$W$53)+SUMIF($R$48:$R$53,CONCATENATE("=",BR52),$S$48:$S$53)</f>
        <v>0</v>
      </c>
      <c r="BX52" s="32">
        <f>BS52*3+BT52</f>
        <v>0</v>
      </c>
      <c r="BY52" s="32">
        <f>0.2+BV52+(BV52-BW52)*100+BS52*1000+BX52*10000</f>
        <v>0.2</v>
      </c>
      <c r="BZ52" s="12"/>
      <c r="CA52" s="12"/>
    </row>
    <row r="53" spans="1:79" ht="13.5" customHeight="1" thickBot="1" x14ac:dyDescent="0.3">
      <c r="A53" s="13"/>
      <c r="B53" s="7" t="s">
        <v>75</v>
      </c>
      <c r="C53" s="7" t="s">
        <v>84</v>
      </c>
      <c r="D53" s="11" t="s">
        <v>9</v>
      </c>
      <c r="E53" s="7" t="s">
        <v>78</v>
      </c>
      <c r="F53" s="14">
        <f>[1]Ergebniss!G53</f>
        <v>0</v>
      </c>
      <c r="G53" s="15" t="s">
        <v>11</v>
      </c>
      <c r="H53" s="14">
        <f>[1]Ergebniss!I53</f>
        <v>0</v>
      </c>
      <c r="I53" s="11"/>
      <c r="J53" s="87"/>
      <c r="K53" s="15" t="s">
        <v>11</v>
      </c>
      <c r="L53" s="88"/>
      <c r="M53" s="16" t="str">
        <f>IF(OR(ISBLANK([1]Ergebniss!I53)),"",
IF(AND(L53=$H53,$F53=J53),3,IF(L53-J53=$H53-$F53,2,
IF(OR(AND($F53&lt;$H53,J53&lt;L53),AND($F53&gt;$H53,J53&gt;L53)),1,0))))</f>
        <v/>
      </c>
      <c r="N53" s="17"/>
      <c r="O53" s="7"/>
      <c r="P53" s="18" t="str">
        <f t="shared" si="46"/>
        <v>Südkorea</v>
      </c>
      <c r="Q53" s="18">
        <f t="shared" si="47"/>
        <v>0</v>
      </c>
      <c r="R53" s="18" t="str">
        <f t="shared" si="48"/>
        <v>Südkorea</v>
      </c>
      <c r="S53" s="18">
        <f t="shared" si="49"/>
        <v>0</v>
      </c>
      <c r="T53" s="18" t="str">
        <f t="shared" si="50"/>
        <v>Deutschland</v>
      </c>
      <c r="U53" s="19">
        <f t="shared" si="51"/>
        <v>0</v>
      </c>
      <c r="V53" s="19" t="str">
        <f t="shared" si="52"/>
        <v>Deutschland</v>
      </c>
      <c r="W53" s="19">
        <f t="shared" si="53"/>
        <v>0</v>
      </c>
      <c r="X53" s="19" t="str">
        <f t="shared" si="54"/>
        <v/>
      </c>
      <c r="Y53" s="19" t="str">
        <f t="shared" si="55"/>
        <v/>
      </c>
      <c r="Z53" s="19"/>
      <c r="AA53" s="7"/>
      <c r="AC53" s="8"/>
      <c r="AD53" s="8"/>
      <c r="AE53" s="8"/>
      <c r="AF53" s="8"/>
      <c r="AG53" s="8"/>
      <c r="AH53" s="8"/>
      <c r="AI53" s="8"/>
      <c r="AW53" s="44"/>
      <c r="AX53" s="45"/>
      <c r="AY53" s="45"/>
      <c r="AZ53" s="58"/>
      <c r="BA53" s="45"/>
      <c r="BB53" s="45"/>
      <c r="BC53" s="45"/>
      <c r="BD53" s="46"/>
      <c r="BE53" s="46"/>
      <c r="BF53" s="46"/>
      <c r="BG53" s="46"/>
      <c r="BH53" s="46"/>
      <c r="BI53" s="47"/>
      <c r="BJ53" s="7"/>
      <c r="BK53" s="8"/>
      <c r="BL53" s="8"/>
      <c r="BM53" s="8"/>
      <c r="BN53" s="8"/>
      <c r="BO53" s="8"/>
      <c r="BP53" s="12"/>
      <c r="BQ53" s="22">
        <f>IF(BY53&gt;BY50,1,0)+IF(BY53&gt;BY51,1,0)+IF(BY53&gt;BY52,1,0)+IF(BY53&gt;BY53,1,0)+1</f>
        <v>1</v>
      </c>
      <c r="BR53" s="31" t="s">
        <v>84</v>
      </c>
      <c r="BS53" s="32">
        <f>COUNTIF($X$48:$Z$53,CONCATENATE(BR53,"_win"))</f>
        <v>0</v>
      </c>
      <c r="BT53" s="32">
        <f>COUNTIF($X$48:$Z$53,CONCATENATE(BR53,"_draw"))</f>
        <v>0</v>
      </c>
      <c r="BU53" s="32">
        <f>COUNTIF($X$48:$Z$53,CONCATENATE(BR53,"_lose"))</f>
        <v>0</v>
      </c>
      <c r="BV53" s="32">
        <f>SUMIF($T$48:$T$53,CONCATENATE("=",BR53),$U$48:$U$53)+SUMIF($P$48:$P$53,CONCATENATE("=",BR53),$Q$48:$Q$53)</f>
        <v>0</v>
      </c>
      <c r="BW53" s="32">
        <f>SUMIF($V$48:$V$53,CONCATENATE("=",BR53),$W$48:$W$53)+SUMIF($R$48:$R$53,CONCATENATE("=",BR53),$S$48:$S$53)</f>
        <v>0</v>
      </c>
      <c r="BX53" s="32">
        <f>BS53*3+BT53</f>
        <v>0</v>
      </c>
      <c r="BY53" s="32">
        <f>0.1+BV53+(BV53-BW53)*100+BS53*1000+BX53*10000</f>
        <v>0.1</v>
      </c>
      <c r="BZ53" s="12"/>
      <c r="CA53" s="12"/>
    </row>
    <row r="54" spans="1:79" ht="7.5" customHeight="1" thickBot="1" x14ac:dyDescent="0.3">
      <c r="A54" s="44"/>
      <c r="B54" s="45"/>
      <c r="C54" s="45"/>
      <c r="D54" s="46"/>
      <c r="E54" s="45"/>
      <c r="F54" s="77"/>
      <c r="G54" s="77"/>
      <c r="H54" s="77"/>
      <c r="I54" s="46"/>
      <c r="J54" s="61"/>
      <c r="K54" s="61"/>
      <c r="L54" s="61"/>
      <c r="M54" s="78"/>
      <c r="N54" s="47"/>
      <c r="O54" s="7"/>
      <c r="P54" s="18"/>
      <c r="Q54" s="18"/>
      <c r="R54" s="18"/>
      <c r="S54" s="18"/>
      <c r="T54" s="18"/>
      <c r="U54" s="19"/>
      <c r="V54" s="19"/>
      <c r="W54" s="19"/>
      <c r="X54" s="19"/>
      <c r="Y54" s="19"/>
      <c r="Z54" s="19"/>
      <c r="AA54" s="7"/>
      <c r="AC54" s="8"/>
      <c r="AD54" s="8"/>
      <c r="AE54" s="8"/>
      <c r="AF54" s="8"/>
      <c r="AG54" s="8"/>
      <c r="AH54" s="8"/>
      <c r="AI54" s="8"/>
      <c r="BJ54" s="7"/>
      <c r="BK54" s="8"/>
      <c r="BL54" s="8"/>
      <c r="BM54" s="8"/>
      <c r="BN54" s="8"/>
      <c r="BO54" s="8"/>
      <c r="BP54" s="12"/>
      <c r="BQ54" s="22"/>
      <c r="BR54" s="31"/>
      <c r="BS54" s="32"/>
      <c r="BT54" s="32"/>
      <c r="BU54" s="32"/>
      <c r="BV54" s="32"/>
      <c r="BW54" s="32"/>
      <c r="BX54" s="32"/>
      <c r="BY54" s="32"/>
      <c r="BZ54" s="12"/>
      <c r="CA54" s="12"/>
    </row>
    <row r="55" spans="1:79" s="69" customFormat="1" ht="15.75" hidden="1" thickBot="1" x14ac:dyDescent="0.3">
      <c r="A55" s="79"/>
      <c r="B55" s="79"/>
      <c r="C55" s="79"/>
      <c r="D55" s="80"/>
      <c r="E55" s="79"/>
      <c r="F55" s="81"/>
      <c r="G55" s="81"/>
      <c r="H55" s="81"/>
      <c r="I55" s="82"/>
      <c r="J55" s="82"/>
      <c r="K55" s="82"/>
      <c r="L55" s="82"/>
      <c r="M55" s="83"/>
      <c r="N55" s="79"/>
      <c r="O55" s="79"/>
      <c r="P55" s="71"/>
      <c r="Q55" s="71"/>
      <c r="R55" s="71"/>
      <c r="S55" s="71"/>
      <c r="T55" s="71"/>
      <c r="U55" s="72"/>
      <c r="V55" s="72"/>
      <c r="W55" s="72"/>
      <c r="X55" s="72"/>
      <c r="Y55" s="72"/>
      <c r="Z55" s="72"/>
      <c r="AA55" s="79"/>
      <c r="AP55" s="70"/>
      <c r="AQ55" s="70"/>
      <c r="AR55" s="70"/>
      <c r="AS55" s="70"/>
      <c r="AT55" s="70"/>
      <c r="AZ55" s="74"/>
      <c r="BB55" s="69" t="s">
        <v>87</v>
      </c>
      <c r="BD55" s="70"/>
      <c r="BE55" s="70"/>
      <c r="BF55" s="70"/>
      <c r="BG55" s="70"/>
      <c r="BH55" s="75">
        <f>SUM(BH40:BH52)</f>
        <v>0</v>
      </c>
      <c r="BJ55" s="79"/>
      <c r="BP55" s="84"/>
      <c r="BQ55" s="85"/>
      <c r="BR55" s="84"/>
      <c r="BS55" s="86"/>
      <c r="BT55" s="86"/>
      <c r="BU55" s="86"/>
      <c r="BV55" s="86"/>
      <c r="BW55" s="86"/>
      <c r="BX55" s="86"/>
      <c r="BY55" s="86"/>
      <c r="BZ55" s="84"/>
      <c r="CA55" s="84"/>
    </row>
    <row r="56" spans="1:79" ht="12.75" customHeight="1" thickBot="1" x14ac:dyDescent="0.3">
      <c r="F56" s="77"/>
      <c r="G56" s="77"/>
      <c r="H56" s="77"/>
      <c r="I56" s="46"/>
      <c r="J56" s="61"/>
      <c r="K56" s="61"/>
      <c r="L56" s="61"/>
      <c r="M56" s="78" t="s">
        <v>32</v>
      </c>
      <c r="P56" s="18"/>
      <c r="Q56" s="18"/>
      <c r="R56" s="18"/>
      <c r="S56" s="18"/>
      <c r="T56" s="18"/>
      <c r="U56" s="19"/>
      <c r="V56" s="19"/>
      <c r="W56" s="19"/>
      <c r="X56" s="19"/>
      <c r="Y56" s="19"/>
      <c r="Z56" s="19"/>
      <c r="AA56" s="7"/>
      <c r="BJ56" s="7"/>
    </row>
    <row r="57" spans="1:79" ht="13.5" customHeight="1" thickBot="1" x14ac:dyDescent="0.25">
      <c r="A57" s="1"/>
      <c r="B57" s="2" t="s">
        <v>88</v>
      </c>
      <c r="C57" s="3"/>
      <c r="D57" s="4"/>
      <c r="E57" s="3"/>
      <c r="F57" s="102" t="s">
        <v>1</v>
      </c>
      <c r="G57" s="102"/>
      <c r="H57" s="102"/>
      <c r="I57" s="5"/>
      <c r="J57" s="92"/>
      <c r="K57" s="92"/>
      <c r="L57" s="92"/>
      <c r="M57" s="5" t="s">
        <v>2</v>
      </c>
      <c r="N57" s="6"/>
      <c r="O57" s="7"/>
      <c r="P57" s="18"/>
      <c r="Q57" s="18"/>
      <c r="R57" s="18"/>
      <c r="S57" s="18"/>
      <c r="T57" s="18"/>
      <c r="U57" s="19"/>
      <c r="V57" s="19"/>
      <c r="W57" s="19"/>
      <c r="X57" s="19"/>
      <c r="Y57" s="19"/>
      <c r="Z57" s="19"/>
      <c r="AA57" s="7"/>
      <c r="AC57" s="103" t="s">
        <v>88</v>
      </c>
      <c r="AD57" s="105" t="s">
        <v>3</v>
      </c>
      <c r="AE57" s="105" t="s">
        <v>4</v>
      </c>
      <c r="AF57" s="105" t="s">
        <v>5</v>
      </c>
      <c r="AG57" s="105" t="s">
        <v>6</v>
      </c>
      <c r="AH57" s="107" t="s">
        <v>2</v>
      </c>
      <c r="AI57" s="9"/>
      <c r="AV57" s="7"/>
      <c r="BH57" s="11"/>
      <c r="BJ57" s="7"/>
      <c r="BK57" s="9"/>
      <c r="BL57" s="9"/>
      <c r="BM57" s="9"/>
      <c r="BN57" s="9"/>
      <c r="BO57" s="9"/>
    </row>
    <row r="58" spans="1:79" ht="13.5" customHeight="1" thickBot="1" x14ac:dyDescent="0.3">
      <c r="A58" s="13"/>
      <c r="B58" s="7" t="s">
        <v>82</v>
      </c>
      <c r="C58" s="7" t="s">
        <v>89</v>
      </c>
      <c r="D58" s="11" t="s">
        <v>9</v>
      </c>
      <c r="E58" s="7" t="s">
        <v>90</v>
      </c>
      <c r="F58" s="14">
        <f>[1]Ergebniss!G58</f>
        <v>0</v>
      </c>
      <c r="G58" s="15" t="s">
        <v>11</v>
      </c>
      <c r="H58" s="14">
        <f>[1]Ergebniss!I58</f>
        <v>0</v>
      </c>
      <c r="I58" s="11"/>
      <c r="J58" s="87"/>
      <c r="K58" s="15" t="s">
        <v>11</v>
      </c>
      <c r="L58" s="87"/>
      <c r="M58" s="16" t="str">
        <f>IF(OR(ISBLANK([1]Ergebniss!I58)),"",
IF(AND(L58=$H58,$F58=J58),3,IF(L58-J58=$H58-$F58,2,
IF(OR(AND($F58&lt;$H58,J58&lt;L58),AND($F58&gt;$H58,J58&gt;L58)),1,0))))</f>
        <v/>
      </c>
      <c r="N58" s="17"/>
      <c r="O58" s="7"/>
      <c r="P58" s="18" t="str">
        <f t="shared" ref="P58:P63" si="56">C58</f>
        <v>Belgien</v>
      </c>
      <c r="Q58" s="18">
        <f t="shared" ref="Q58:Q63" si="57">J58</f>
        <v>0</v>
      </c>
      <c r="R58" s="18" t="str">
        <f t="shared" ref="R58:R63" si="58">C58</f>
        <v>Belgien</v>
      </c>
      <c r="S58" s="18">
        <f t="shared" ref="S58:S63" si="59">L58</f>
        <v>0</v>
      </c>
      <c r="T58" s="18" t="str">
        <f t="shared" ref="T58:T63" si="60">E58</f>
        <v>Panama</v>
      </c>
      <c r="U58" s="19">
        <f t="shared" ref="U58:U63" si="61">L58</f>
        <v>0</v>
      </c>
      <c r="V58" s="19" t="str">
        <f t="shared" ref="V58:V63" si="62">E58</f>
        <v>Panama</v>
      </c>
      <c r="W58" s="19">
        <f t="shared" ref="W58:W63" si="63">J58</f>
        <v>0</v>
      </c>
      <c r="X58" s="19" t="str">
        <f t="shared" ref="X58:X63" si="64">IF(J58="","",IF(L58="","",IF(J58&gt;L58,CONCATENATE(C58,"_win"),IF(J58&lt;L58,CONCATENATE(C58,"_lose"),CONCATENATE(C58,"_draw")))))</f>
        <v/>
      </c>
      <c r="Y58" s="19" t="str">
        <f t="shared" ref="Y58:Y63" si="65">IF(J58="","",IF(L58="","",IF(J58&gt;L58,CONCATENATE(E58,"_lose"),IF(J58&lt;L58,CONCATENATE(E58,"_win"),CONCATENATE(E58,"_draw")))))</f>
        <v/>
      </c>
      <c r="Z58" s="19"/>
      <c r="AA58" s="7"/>
      <c r="AC58" s="104"/>
      <c r="AD58" s="106"/>
      <c r="AE58" s="106"/>
      <c r="AF58" s="106"/>
      <c r="AG58" s="106"/>
      <c r="AH58" s="108"/>
      <c r="AI58" s="9"/>
      <c r="AJ58" s="90" t="s">
        <v>91</v>
      </c>
      <c r="AK58" s="91"/>
      <c r="AL58" s="91"/>
      <c r="AM58" s="91"/>
      <c r="AN58" s="91"/>
      <c r="AO58" s="2"/>
      <c r="AP58" s="92"/>
      <c r="AQ58" s="92"/>
      <c r="AR58" s="92"/>
      <c r="AS58" s="2"/>
      <c r="AT58" s="20" t="s">
        <v>13</v>
      </c>
      <c r="AU58" s="21"/>
      <c r="AV58" s="7"/>
      <c r="AZ58" s="63" t="s">
        <v>46</v>
      </c>
      <c r="BE58" s="8"/>
      <c r="BG58" s="8"/>
      <c r="BH58" s="29"/>
      <c r="BJ58" s="7"/>
      <c r="BK58" s="9"/>
      <c r="BL58" s="9"/>
      <c r="BM58" s="9"/>
      <c r="BN58" s="9"/>
      <c r="BO58" s="9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</row>
    <row r="59" spans="1:79" ht="13.5" customHeight="1" thickBot="1" x14ac:dyDescent="0.3">
      <c r="A59" s="13"/>
      <c r="B59" s="7" t="s">
        <v>82</v>
      </c>
      <c r="C59" s="7" t="s">
        <v>92</v>
      </c>
      <c r="D59" s="11" t="s">
        <v>9</v>
      </c>
      <c r="E59" s="7" t="s">
        <v>93</v>
      </c>
      <c r="F59" s="14">
        <f>[1]Ergebniss!G59</f>
        <v>0</v>
      </c>
      <c r="G59" s="15" t="s">
        <v>11</v>
      </c>
      <c r="H59" s="14">
        <f>[1]Ergebniss!I59</f>
        <v>0</v>
      </c>
      <c r="I59" s="11"/>
      <c r="J59" s="88"/>
      <c r="K59" s="15" t="s">
        <v>11</v>
      </c>
      <c r="L59" s="88"/>
      <c r="M59" s="16" t="str">
        <f>IF(OR(ISBLANK([1]Ergebniss!I59)),"",
IF(AND(L59=$H59,$F59=J59),3,IF(L59-J59=$H59-$F59,2,
IF(OR(AND($F59&lt;$H59,J59&lt;L59),AND($F59&gt;$H59,J59&gt;L59)),1,0))))</f>
        <v/>
      </c>
      <c r="N59" s="17"/>
      <c r="O59" s="7"/>
      <c r="P59" s="18" t="str">
        <f t="shared" si="56"/>
        <v>Tunesien</v>
      </c>
      <c r="Q59" s="18">
        <f t="shared" si="57"/>
        <v>0</v>
      </c>
      <c r="R59" s="18" t="str">
        <f t="shared" si="58"/>
        <v>Tunesien</v>
      </c>
      <c r="S59" s="18">
        <f t="shared" si="59"/>
        <v>0</v>
      </c>
      <c r="T59" s="18" t="str">
        <f t="shared" si="60"/>
        <v>England</v>
      </c>
      <c r="U59" s="19">
        <f t="shared" si="61"/>
        <v>0</v>
      </c>
      <c r="V59" s="19" t="str">
        <f t="shared" si="62"/>
        <v>England</v>
      </c>
      <c r="W59" s="19">
        <f t="shared" si="63"/>
        <v>0</v>
      </c>
      <c r="X59" s="19" t="str">
        <f t="shared" si="64"/>
        <v/>
      </c>
      <c r="Y59" s="19" t="str">
        <f t="shared" si="65"/>
        <v/>
      </c>
      <c r="Z59" s="19"/>
      <c r="AA59" s="7"/>
      <c r="AC59" s="23" t="str">
        <f>VLOOKUP(4,BQ60:BX63,2,FALSE)</f>
        <v>Belgien</v>
      </c>
      <c r="AD59" s="24">
        <f>VLOOKUP(4,BQ60:BX63,3,FALSE)</f>
        <v>0</v>
      </c>
      <c r="AE59" s="24">
        <f>VLOOKUP(4,BQ60:BX63,4,FALSE)</f>
        <v>0</v>
      </c>
      <c r="AF59" s="24">
        <f>VLOOKUP(4,BQ60:BX63,5,FALSE)</f>
        <v>0</v>
      </c>
      <c r="AG59" s="24" t="str">
        <f>CONCATENATE(VLOOKUP(4,BQ60:BX63,6,FALSE)," - ",VLOOKUP(4,BQ60:BX63,7,FALSE))</f>
        <v>0 - 0</v>
      </c>
      <c r="AH59" s="25">
        <f>VLOOKUP(4,BQ60:BX63,8,FALSE)</f>
        <v>0</v>
      </c>
      <c r="AI59" s="26"/>
      <c r="AJ59" s="95" t="s">
        <v>25</v>
      </c>
      <c r="AK59" s="96"/>
      <c r="AL59" s="27" t="str">
        <f>CA50</f>
        <v>Sieger Gruppe F</v>
      </c>
      <c r="AM59" s="7" t="s">
        <v>9</v>
      </c>
      <c r="AN59" s="27" t="str">
        <f>CA41</f>
        <v>Zweiter Gruppe E</v>
      </c>
      <c r="AO59" s="7"/>
      <c r="AP59" s="87"/>
      <c r="AQ59" s="15" t="s">
        <v>11</v>
      </c>
      <c r="AR59" s="87"/>
      <c r="AS59" s="11"/>
      <c r="AT59" s="29"/>
      <c r="AU59" s="30"/>
      <c r="AV59" s="7"/>
      <c r="BJ59" s="7"/>
      <c r="BK59" s="26"/>
      <c r="BL59" s="26"/>
      <c r="BM59" s="26"/>
      <c r="BN59" s="26"/>
      <c r="BO59" s="26"/>
      <c r="BP59" s="12"/>
      <c r="BQ59" s="22" t="s">
        <v>15</v>
      </c>
      <c r="BR59" s="22" t="s">
        <v>88</v>
      </c>
      <c r="BS59" s="22" t="s">
        <v>16</v>
      </c>
      <c r="BT59" s="22" t="s">
        <v>17</v>
      </c>
      <c r="BU59" s="22" t="s">
        <v>18</v>
      </c>
      <c r="BV59" s="22" t="s">
        <v>6</v>
      </c>
      <c r="BW59" s="22" t="s">
        <v>19</v>
      </c>
      <c r="BX59" s="22" t="s">
        <v>2</v>
      </c>
      <c r="BY59" s="22" t="s">
        <v>20</v>
      </c>
      <c r="BZ59" s="12"/>
      <c r="CA59" s="12"/>
    </row>
    <row r="60" spans="1:79" ht="13.5" customHeight="1" thickBot="1" x14ac:dyDescent="0.3">
      <c r="A60" s="13"/>
      <c r="B60" s="7" t="s">
        <v>85</v>
      </c>
      <c r="C60" s="7" t="s">
        <v>89</v>
      </c>
      <c r="D60" s="11" t="s">
        <v>9</v>
      </c>
      <c r="E60" s="7" t="s">
        <v>92</v>
      </c>
      <c r="F60" s="14">
        <f>[1]Ergebniss!G60</f>
        <v>0</v>
      </c>
      <c r="G60" s="15" t="s">
        <v>11</v>
      </c>
      <c r="H60" s="14">
        <f>[1]Ergebniss!I60</f>
        <v>0</v>
      </c>
      <c r="I60" s="11"/>
      <c r="J60" s="87"/>
      <c r="K60" s="15" t="s">
        <v>11</v>
      </c>
      <c r="L60" s="88"/>
      <c r="M60" s="16" t="str">
        <f>IF(OR(ISBLANK([1]Ergebniss!I60)),"",
IF(AND(L60=$H60,$F60=J60),3,IF(L60-J60=$H60-$F60,2,
IF(OR(AND($F60&lt;$H60,J60&lt;L60),AND($F60&gt;$H60,J60&gt;L60)),1,0))))</f>
        <v/>
      </c>
      <c r="N60" s="17"/>
      <c r="O60" s="7"/>
      <c r="P60" s="18" t="str">
        <f t="shared" si="56"/>
        <v>Belgien</v>
      </c>
      <c r="Q60" s="18">
        <f t="shared" si="57"/>
        <v>0</v>
      </c>
      <c r="R60" s="18" t="str">
        <f t="shared" si="58"/>
        <v>Belgien</v>
      </c>
      <c r="S60" s="18">
        <f t="shared" si="59"/>
        <v>0</v>
      </c>
      <c r="T60" s="18" t="str">
        <f t="shared" si="60"/>
        <v>Tunesien</v>
      </c>
      <c r="U60" s="19">
        <f t="shared" si="61"/>
        <v>0</v>
      </c>
      <c r="V60" s="19" t="str">
        <f t="shared" si="62"/>
        <v>Tunesien</v>
      </c>
      <c r="W60" s="19">
        <f t="shared" si="63"/>
        <v>0</v>
      </c>
      <c r="X60" s="19" t="str">
        <f t="shared" si="64"/>
        <v/>
      </c>
      <c r="Y60" s="19" t="str">
        <f t="shared" si="65"/>
        <v/>
      </c>
      <c r="Z60" s="19"/>
      <c r="AC60" s="34" t="str">
        <f>VLOOKUP(3,BQ60:BX63,2,FALSE)</f>
        <v>England</v>
      </c>
      <c r="AD60" s="35">
        <f>VLOOKUP(3,BQ60:BX63,3,FALSE)</f>
        <v>0</v>
      </c>
      <c r="AE60" s="35">
        <f>VLOOKUP(3,BQ60:BX63,4,FALSE)</f>
        <v>0</v>
      </c>
      <c r="AF60" s="35">
        <f>VLOOKUP(3,BQ60:BX63,5,FALSE)</f>
        <v>0</v>
      </c>
      <c r="AG60" s="35" t="str">
        <f>CONCATENATE(VLOOKUP(3,BQ60:BX63,6,FALSE)," - ",VLOOKUP(3,BQ60:BX63,7,FALSE))</f>
        <v>0 - 0</v>
      </c>
      <c r="AH60" s="36">
        <f>VLOOKUP(3,BQ60:BX63,8,FALSE)</f>
        <v>0</v>
      </c>
      <c r="AI60" s="26"/>
      <c r="AJ60" s="13"/>
      <c r="AK60" s="7"/>
      <c r="AL60" s="7"/>
      <c r="AM60" s="7"/>
      <c r="AN60" s="7"/>
      <c r="AO60" s="7"/>
      <c r="AP60" s="11"/>
      <c r="AQ60" s="11"/>
      <c r="AR60" s="11"/>
      <c r="AS60" s="11"/>
      <c r="AT60" s="11"/>
      <c r="AU60" s="17"/>
      <c r="AV60" s="7"/>
      <c r="AW60" s="90" t="s">
        <v>64</v>
      </c>
      <c r="AX60" s="91"/>
      <c r="AY60" s="91"/>
      <c r="AZ60" s="91"/>
      <c r="BA60" s="91"/>
      <c r="BB60" s="91"/>
      <c r="BC60" s="2"/>
      <c r="BD60" s="92" t="s">
        <v>31</v>
      </c>
      <c r="BE60" s="92"/>
      <c r="BF60" s="92"/>
      <c r="BG60" s="2"/>
      <c r="BH60" s="5" t="s">
        <v>13</v>
      </c>
      <c r="BI60" s="21"/>
      <c r="BJ60" s="7"/>
      <c r="BK60" s="26"/>
      <c r="BL60" s="26"/>
      <c r="BM60" s="26"/>
      <c r="BN60" s="26"/>
      <c r="BO60" s="26"/>
      <c r="BP60" s="12"/>
      <c r="BQ60" s="22">
        <f>IF(BY60&gt;BY60,1,0)+IF(BY60&gt;BY61,1,0)+IF(BY60&gt;BY62,1,0)+IF(BY60&gt;BY63,1,0)+1</f>
        <v>4</v>
      </c>
      <c r="BR60" s="31" t="s">
        <v>89</v>
      </c>
      <c r="BS60" s="32">
        <f>COUNTIF($X$58:$Z$63,CONCATENATE(BR60,"_win"))</f>
        <v>0</v>
      </c>
      <c r="BT60" s="32">
        <f>COUNTIF($X$58:$Z$63,CONCATENATE(BR60,"_draw"))</f>
        <v>0</v>
      </c>
      <c r="BU60" s="32">
        <f>COUNTIF($X$58:$Z$63,CONCATENATE(BR60,"_lose"))</f>
        <v>0</v>
      </c>
      <c r="BV60" s="32">
        <f>SUMIF($T$58:$T$63,CONCATENATE("=",BR60),$U$58:$U$63)+SUMIF($P$58:$P$63,CONCATENATE("=",BR60),$Q$58:$Q$63)</f>
        <v>0</v>
      </c>
      <c r="BW60" s="32">
        <f>SUMIF($V$58:$V$63,CONCATENATE("=",BR60),$W$58:$W$63)+SUMIF($R$58:$R$63,CONCATENATE("=",BR60),$S$58:$S$63)</f>
        <v>0</v>
      </c>
      <c r="BX60" s="32">
        <f>BS60*3+BT60</f>
        <v>0</v>
      </c>
      <c r="BY60" s="32">
        <f>0.4+BV60+(BV60-BW60)*100+BS60*1000+BX60*10000</f>
        <v>0.4</v>
      </c>
      <c r="BZ60" s="12"/>
      <c r="CA60" s="31" t="str">
        <f>IF(SUM(BS60:BU63)=12,AC59,"Sieger Gruppe G")</f>
        <v>Sieger Gruppe G</v>
      </c>
    </row>
    <row r="61" spans="1:79" ht="13.5" customHeight="1" x14ac:dyDescent="0.25">
      <c r="A61" s="13"/>
      <c r="B61" s="7" t="s">
        <v>94</v>
      </c>
      <c r="C61" s="7" t="s">
        <v>93</v>
      </c>
      <c r="D61" s="11" t="s">
        <v>9</v>
      </c>
      <c r="E61" s="7" t="s">
        <v>90</v>
      </c>
      <c r="F61" s="14">
        <f>[1]Ergebniss!G61</f>
        <v>0</v>
      </c>
      <c r="G61" s="15" t="s">
        <v>11</v>
      </c>
      <c r="H61" s="14">
        <f>[1]Ergebniss!I61</f>
        <v>0</v>
      </c>
      <c r="I61" s="11"/>
      <c r="J61" s="88"/>
      <c r="K61" s="15" t="s">
        <v>11</v>
      </c>
      <c r="L61" s="88"/>
      <c r="M61" s="16" t="str">
        <f>IF(OR(ISBLANK([1]Ergebniss!I61)),"",
IF(AND(L61=$H61,$F61=J61),3,IF(L61-J61=$H61-$F61,2,
IF(OR(AND($F61&lt;$H61,J61&lt;L61),AND($F61&gt;$H61,J61&gt;L61)),1,0))))</f>
        <v/>
      </c>
      <c r="N61" s="17"/>
      <c r="O61" s="7"/>
      <c r="P61" s="18" t="str">
        <f t="shared" si="56"/>
        <v>England</v>
      </c>
      <c r="Q61" s="18">
        <f t="shared" si="57"/>
        <v>0</v>
      </c>
      <c r="R61" s="18" t="str">
        <f t="shared" si="58"/>
        <v>England</v>
      </c>
      <c r="S61" s="18">
        <f t="shared" si="59"/>
        <v>0</v>
      </c>
      <c r="T61" s="18" t="str">
        <f t="shared" si="60"/>
        <v>Panama</v>
      </c>
      <c r="U61" s="19">
        <f t="shared" si="61"/>
        <v>0</v>
      </c>
      <c r="V61" s="19" t="str">
        <f t="shared" si="62"/>
        <v>Panama</v>
      </c>
      <c r="W61" s="19">
        <f t="shared" si="63"/>
        <v>0</v>
      </c>
      <c r="X61" s="19" t="str">
        <f t="shared" si="64"/>
        <v/>
      </c>
      <c r="Y61" s="19" t="str">
        <f t="shared" si="65"/>
        <v/>
      </c>
      <c r="Z61" s="19"/>
      <c r="AC61" s="38" t="str">
        <f>VLOOKUP(2,BQ60:BX63,2,FALSE)</f>
        <v>Panama</v>
      </c>
      <c r="AD61" s="26">
        <f>VLOOKUP(2,BQ60:BX63,3,FALSE)</f>
        <v>0</v>
      </c>
      <c r="AE61" s="26">
        <f>VLOOKUP(2,BQ60:BX63,4,FALSE)</f>
        <v>0</v>
      </c>
      <c r="AF61" s="26">
        <f>VLOOKUP(2,BQ60:BX63,5,FALSE)</f>
        <v>0</v>
      </c>
      <c r="AG61" s="26" t="str">
        <f>CONCATENATE(VLOOKUP(2,BQ60:BX63,6,FALSE)," - ",VLOOKUP(2,BQ60:BX63,7,FALSE))</f>
        <v>0 - 0</v>
      </c>
      <c r="AH61" s="39">
        <f>VLOOKUP(2,BQ60:BX63,8,FALSE)</f>
        <v>0</v>
      </c>
      <c r="AI61" s="26"/>
      <c r="AJ61" s="99" t="s">
        <v>95</v>
      </c>
      <c r="AK61" s="100"/>
      <c r="AL61" s="7" t="str">
        <f>[1]Ergebniss!AH59</f>
        <v>Sieger Gruppe F</v>
      </c>
      <c r="AM61" s="7" t="s">
        <v>9</v>
      </c>
      <c r="AN61" s="7" t="str">
        <f>[1]Ergebniss!AJ59</f>
        <v>Zweiter Gruppe E</v>
      </c>
      <c r="AO61" s="7"/>
      <c r="AP61" s="40"/>
      <c r="AQ61" s="40"/>
      <c r="AR61" s="40"/>
      <c r="AS61" s="11"/>
      <c r="AT61" s="29"/>
      <c r="AU61" s="17"/>
      <c r="AV61" s="7"/>
      <c r="AW61" s="49"/>
      <c r="AX61" s="96" t="s">
        <v>25</v>
      </c>
      <c r="AY61" s="96"/>
      <c r="AZ61" s="59" t="str">
        <f>CC30</f>
        <v>Sieger 1. Halbfinale</v>
      </c>
      <c r="BA61" s="7" t="s">
        <v>9</v>
      </c>
      <c r="BB61" s="27" t="str">
        <f>CC31</f>
        <v>Sieger 2. Halbfinale</v>
      </c>
      <c r="BC61" s="7"/>
      <c r="BD61" s="87"/>
      <c r="BE61" s="15" t="s">
        <v>11</v>
      </c>
      <c r="BF61" s="87"/>
      <c r="BG61" s="11"/>
      <c r="BH61" s="29"/>
      <c r="BI61" s="30"/>
      <c r="BJ61" s="7"/>
      <c r="BK61" s="26"/>
      <c r="BL61" s="26"/>
      <c r="BM61" s="26"/>
      <c r="BN61" s="26"/>
      <c r="BO61" s="26"/>
      <c r="BP61" s="12"/>
      <c r="BQ61" s="22">
        <f>IF(BY61&gt;BY60,1,0)+IF(BY61&gt;BY61,1,0)+IF(BY61&gt;BY62,1,0)+IF(BY61&gt;BY63,1,0)+1</f>
        <v>3</v>
      </c>
      <c r="BR61" s="31" t="s">
        <v>93</v>
      </c>
      <c r="BS61" s="32">
        <f>COUNTIF($X$58:$Z$63,CONCATENATE(BR61,"_win"))</f>
        <v>0</v>
      </c>
      <c r="BT61" s="32">
        <f>COUNTIF($X$58:$Z$63,CONCATENATE(BR61,"_draw"))</f>
        <v>0</v>
      </c>
      <c r="BU61" s="32">
        <f>COUNTIF($X$58:$Z$63,CONCATENATE(BR61,"_lose"))</f>
        <v>0</v>
      </c>
      <c r="BV61" s="32">
        <f>SUMIF($T$58:$T$63,CONCATENATE("=",BR61),$U$58:$U$63)+SUMIF($P$58:$P$63,CONCATENATE("=",BR61),$Q$58:$Q$63)</f>
        <v>0</v>
      </c>
      <c r="BW61" s="32">
        <f>SUMIF($V$58:$V$63,CONCATENATE("=",BR61),$W$58:$W$63)+SUMIF($R$58:$R$63,CONCATENATE("=",BR61),$S$58:$S$63)</f>
        <v>0</v>
      </c>
      <c r="BX61" s="32">
        <f>BS61*3+BT61</f>
        <v>0</v>
      </c>
      <c r="BY61" s="32">
        <f>0.3+BV61+(BV61-BW61)*100+BS61*1000+BX61*10000</f>
        <v>0.3</v>
      </c>
      <c r="BZ61" s="12"/>
      <c r="CA61" s="31" t="str">
        <f>IF(SUM(BS60:BU63)=12,AC60,"Zweiter Gruppe G")</f>
        <v>Zweiter Gruppe G</v>
      </c>
    </row>
    <row r="62" spans="1:79" ht="13.5" customHeight="1" thickBot="1" x14ac:dyDescent="0.3">
      <c r="A62" s="13"/>
      <c r="B62" s="7" t="s">
        <v>96</v>
      </c>
      <c r="C62" s="7" t="s">
        <v>93</v>
      </c>
      <c r="D62" s="11" t="s">
        <v>9</v>
      </c>
      <c r="E62" s="7" t="s">
        <v>89</v>
      </c>
      <c r="F62" s="14">
        <f>[1]Ergebniss!G62</f>
        <v>0</v>
      </c>
      <c r="G62" s="15" t="s">
        <v>11</v>
      </c>
      <c r="H62" s="14">
        <f>[1]Ergebniss!I62</f>
        <v>0</v>
      </c>
      <c r="I62" s="11"/>
      <c r="J62" s="87"/>
      <c r="K62" s="15" t="s">
        <v>11</v>
      </c>
      <c r="L62" s="88"/>
      <c r="M62" s="16" t="str">
        <f>IF(OR(ISBLANK([1]Ergebniss!I62)),"",
IF(AND(L62=$H62,$F62=J62),3,IF(L62-J62=$H62-$F62,2,
IF(OR(AND($F62&lt;$H62,J62&lt;L62),AND($F62&gt;$H62,J62&gt;L62)),1,0))))</f>
        <v/>
      </c>
      <c r="N62" s="17"/>
      <c r="O62" s="7"/>
      <c r="P62" s="18" t="str">
        <f t="shared" si="56"/>
        <v>England</v>
      </c>
      <c r="Q62" s="18">
        <f t="shared" si="57"/>
        <v>0</v>
      </c>
      <c r="R62" s="18" t="str">
        <f t="shared" si="58"/>
        <v>England</v>
      </c>
      <c r="S62" s="18">
        <f t="shared" si="59"/>
        <v>0</v>
      </c>
      <c r="T62" s="18" t="str">
        <f t="shared" si="60"/>
        <v>Belgien</v>
      </c>
      <c r="U62" s="19">
        <f t="shared" si="61"/>
        <v>0</v>
      </c>
      <c r="V62" s="19" t="str">
        <f t="shared" si="62"/>
        <v>Belgien</v>
      </c>
      <c r="W62" s="19">
        <f t="shared" si="63"/>
        <v>0</v>
      </c>
      <c r="X62" s="19" t="str">
        <f t="shared" si="64"/>
        <v/>
      </c>
      <c r="Y62" s="19" t="str">
        <f t="shared" si="65"/>
        <v/>
      </c>
      <c r="Z62" s="19"/>
      <c r="AC62" s="41" t="str">
        <f>VLOOKUP(1,BQ60:BX63,2,FALSE)</f>
        <v>Tunesien</v>
      </c>
      <c r="AD62" s="42">
        <f>VLOOKUP(1,BQ60:BX63,3,FALSE)</f>
        <v>0</v>
      </c>
      <c r="AE62" s="42">
        <f>VLOOKUP(1,BQ60:BX63,4,FALSE)</f>
        <v>0</v>
      </c>
      <c r="AF62" s="42">
        <f>VLOOKUP(1,BQ60:BX63,5,FALSE)</f>
        <v>0</v>
      </c>
      <c r="AG62" s="42" t="str">
        <f>CONCATENATE(VLOOKUP(1,BQ60:BX63,6,FALSE)," - ",VLOOKUP(1,BQ60:BX63,7,FALSE))</f>
        <v>0 - 0</v>
      </c>
      <c r="AH62" s="43">
        <f>VLOOKUP(1,BQ60:BX63,8,FALSE)</f>
        <v>0</v>
      </c>
      <c r="AI62" s="26"/>
      <c r="AJ62" s="44"/>
      <c r="AK62" s="45"/>
      <c r="AL62" s="45"/>
      <c r="AM62" s="45"/>
      <c r="AN62" s="45"/>
      <c r="AO62" s="45"/>
      <c r="AP62" s="46"/>
      <c r="AQ62" s="46"/>
      <c r="AR62" s="46"/>
      <c r="AS62" s="46"/>
      <c r="AT62" s="46"/>
      <c r="AU62" s="47"/>
      <c r="AW62" s="13"/>
      <c r="AX62" s="7"/>
      <c r="AY62" s="7"/>
      <c r="AZ62" s="33"/>
      <c r="BA62" s="7"/>
      <c r="BB62" s="7"/>
      <c r="BC62" s="7"/>
      <c r="BD62" s="11"/>
      <c r="BE62" s="7"/>
      <c r="BF62" s="11"/>
      <c r="BG62" s="7"/>
      <c r="BH62" s="11"/>
      <c r="BI62" s="17"/>
      <c r="BJ62" s="7"/>
      <c r="BK62" s="26"/>
      <c r="BL62" s="26"/>
      <c r="BM62" s="26"/>
      <c r="BN62" s="26"/>
      <c r="BO62" s="26"/>
      <c r="BP62" s="12"/>
      <c r="BQ62" s="22">
        <f>IF(BY62&gt;BY60,1,0)+IF(BY62&gt;BY61,1,0)+IF(BY62&gt;BY62,1,0)+IF(BY62&gt;BY63,1,0)+1</f>
        <v>2</v>
      </c>
      <c r="BR62" s="31" t="s">
        <v>90</v>
      </c>
      <c r="BS62" s="32">
        <f>COUNTIF($X$58:$Z$63,CONCATENATE(BR62,"_win"))</f>
        <v>0</v>
      </c>
      <c r="BT62" s="32">
        <f>COUNTIF($X$58:$Z$63,CONCATENATE(BR62,"_draw"))</f>
        <v>0</v>
      </c>
      <c r="BU62" s="32">
        <f>COUNTIF($X$58:$Z$63,CONCATENATE(BR62,"_lose"))</f>
        <v>0</v>
      </c>
      <c r="BV62" s="32">
        <f>SUMIF($T$58:$T$63,CONCATENATE("=",BR62),$U$58:$U$63)+SUMIF($P$58:$P$63,CONCATENATE("=",BR62),$Q$58:$Q$63)</f>
        <v>0</v>
      </c>
      <c r="BW62" s="32">
        <f>SUMIF($V$58:$V$63,CONCATENATE("=",BR62),$W$58:$W$63)+SUMIF($R$58:$R$63,CONCATENATE("=",BR62),$S$58:$S$63)</f>
        <v>0</v>
      </c>
      <c r="BX62" s="32">
        <f>BS62*3+BT62</f>
        <v>0</v>
      </c>
      <c r="BY62" s="32">
        <f>0.2+BV62+(BV62-BW62)*100+BS62*1000+BX62*10000</f>
        <v>0.2</v>
      </c>
      <c r="BZ62" s="12"/>
      <c r="CA62" s="12"/>
    </row>
    <row r="63" spans="1:79" ht="13.5" customHeight="1" x14ac:dyDescent="0.25">
      <c r="A63" s="13"/>
      <c r="B63" s="7" t="s">
        <v>96</v>
      </c>
      <c r="C63" s="7" t="s">
        <v>90</v>
      </c>
      <c r="D63" s="11" t="s">
        <v>9</v>
      </c>
      <c r="E63" s="7" t="s">
        <v>92</v>
      </c>
      <c r="F63" s="14">
        <f>[1]Ergebniss!G63</f>
        <v>0</v>
      </c>
      <c r="G63" s="15" t="s">
        <v>11</v>
      </c>
      <c r="H63" s="14">
        <f>[1]Ergebniss!I63</f>
        <v>0</v>
      </c>
      <c r="I63" s="11"/>
      <c r="J63" s="87"/>
      <c r="K63" s="15" t="s">
        <v>11</v>
      </c>
      <c r="L63" s="88"/>
      <c r="M63" s="16" t="str">
        <f>IF(OR(ISBLANK([1]Ergebniss!I63)),"",
IF(AND(L63=$H63,$F63=J63),3,IF(L63-J63=$H63-$F63,2,
IF(OR(AND($F63&lt;$H63,J63&lt;L63),AND($F63&gt;$H63,J63&gt;L63)),1,0))))</f>
        <v/>
      </c>
      <c r="N63" s="17"/>
      <c r="O63" s="7"/>
      <c r="P63" s="18" t="str">
        <f t="shared" si="56"/>
        <v>Panama</v>
      </c>
      <c r="Q63" s="18">
        <f t="shared" si="57"/>
        <v>0</v>
      </c>
      <c r="R63" s="18" t="str">
        <f t="shared" si="58"/>
        <v>Panama</v>
      </c>
      <c r="S63" s="18">
        <f t="shared" si="59"/>
        <v>0</v>
      </c>
      <c r="T63" s="18" t="str">
        <f t="shared" si="60"/>
        <v>Tunesien</v>
      </c>
      <c r="U63" s="19">
        <f t="shared" si="61"/>
        <v>0</v>
      </c>
      <c r="V63" s="19" t="str">
        <f t="shared" si="62"/>
        <v>Tunesien</v>
      </c>
      <c r="W63" s="19">
        <f t="shared" si="63"/>
        <v>0</v>
      </c>
      <c r="X63" s="19" t="str">
        <f t="shared" si="64"/>
        <v/>
      </c>
      <c r="Y63" s="19" t="str">
        <f t="shared" si="65"/>
        <v/>
      </c>
      <c r="Z63" s="19"/>
      <c r="AA63" s="11"/>
      <c r="AC63" s="8"/>
      <c r="AD63" s="8"/>
      <c r="AE63" s="8"/>
      <c r="AF63" s="8"/>
      <c r="AG63" s="8"/>
      <c r="AH63" s="8"/>
      <c r="AI63" s="8"/>
      <c r="AW63" s="13"/>
      <c r="AX63" s="100" t="s">
        <v>97</v>
      </c>
      <c r="AY63" s="100"/>
      <c r="AZ63" s="109" t="str">
        <f>[1]Ergebniss!AT61</f>
        <v>Sieger 1. Achtelfinale</v>
      </c>
      <c r="BA63" s="100" t="s">
        <v>9</v>
      </c>
      <c r="BB63" s="109" t="str">
        <f>[1]Ergebniss!AV61</f>
        <v>Sieger 7. Achtelfinale</v>
      </c>
      <c r="BC63" s="7"/>
      <c r="BD63" s="40"/>
      <c r="BE63" s="101" t="s">
        <v>11</v>
      </c>
      <c r="BF63" s="101"/>
      <c r="BG63" s="11"/>
      <c r="BH63" s="29"/>
      <c r="BI63" s="17"/>
      <c r="BJ63" s="7"/>
      <c r="BK63" s="8"/>
      <c r="BL63" s="8"/>
      <c r="BM63" s="8"/>
      <c r="BN63" s="8"/>
      <c r="BO63" s="8"/>
      <c r="BP63" s="12"/>
      <c r="BQ63" s="22">
        <f>IF(BY63&gt;BY60,1,0)+IF(BY63&gt;BY61,1,0)+IF(BY63&gt;BY62,1,0)+IF(BY63&gt;BY63,1,0)+1</f>
        <v>1</v>
      </c>
      <c r="BR63" s="31" t="s">
        <v>92</v>
      </c>
      <c r="BS63" s="32">
        <f>COUNTIF($X$58:$Z$63,CONCATENATE(BR63,"_win"))</f>
        <v>0</v>
      </c>
      <c r="BT63" s="32">
        <f>COUNTIF($X$58:$Z$63,CONCATENATE(BR63,"_draw"))</f>
        <v>0</v>
      </c>
      <c r="BU63" s="32">
        <f>COUNTIF($X$58:$Z$63,CONCATENATE(BR63,"_lose"))</f>
        <v>0</v>
      </c>
      <c r="BV63" s="32">
        <f>SUMIF($T$58:$T$63,CONCATENATE("=",BR63),$U$58:$U$63)+SUMIF($P$58:$P$63,CONCATENATE("=",BR63),$Q$58:$Q$63)</f>
        <v>0</v>
      </c>
      <c r="BW63" s="32">
        <f>SUMIF($V$58:$V$63,CONCATENATE("=",BR63),$W$58:$W$63)+SUMIF($R$58:$R$63,CONCATENATE("=",BR63),$S$58:$S$63)</f>
        <v>0</v>
      </c>
      <c r="BX63" s="32">
        <f>BS63*3+BT63</f>
        <v>0</v>
      </c>
      <c r="BY63" s="32">
        <f>0.1+BV63+(BV63-BW63)*100+BS63*1000+BX63*10000</f>
        <v>0.1</v>
      </c>
      <c r="BZ63" s="12"/>
      <c r="CA63" s="12"/>
    </row>
    <row r="64" spans="1:79" ht="7.5" customHeight="1" thickBot="1" x14ac:dyDescent="0.3">
      <c r="A64" s="44"/>
      <c r="B64" s="45"/>
      <c r="C64" s="45"/>
      <c r="D64" s="46"/>
      <c r="E64" s="45"/>
      <c r="F64" s="14"/>
      <c r="G64" s="15"/>
      <c r="H64" s="14"/>
      <c r="I64" s="46"/>
      <c r="J64" s="61"/>
      <c r="K64" s="61"/>
      <c r="L64" s="61"/>
      <c r="M64" s="16"/>
      <c r="N64" s="47"/>
      <c r="O64" s="7"/>
      <c r="P64" s="18"/>
      <c r="Q64" s="18"/>
      <c r="R64" s="18"/>
      <c r="S64" s="18"/>
      <c r="T64" s="18"/>
      <c r="U64" s="19"/>
      <c r="V64" s="19"/>
      <c r="W64" s="19"/>
      <c r="X64" s="19"/>
      <c r="Y64" s="19"/>
      <c r="Z64" s="19"/>
      <c r="AA64" s="11"/>
      <c r="AC64" s="8"/>
      <c r="AD64" s="8"/>
      <c r="AE64" s="8"/>
      <c r="AF64" s="8"/>
      <c r="AG64" s="8"/>
      <c r="AH64" s="8"/>
      <c r="AI64" s="8"/>
      <c r="AW64" s="13"/>
      <c r="AX64" s="100"/>
      <c r="AY64" s="100"/>
      <c r="AZ64" s="109"/>
      <c r="BA64" s="100"/>
      <c r="BB64" s="109"/>
      <c r="BC64" s="7"/>
      <c r="BD64" s="40"/>
      <c r="BE64" s="101"/>
      <c r="BF64" s="101"/>
      <c r="BG64" s="11"/>
      <c r="BH64" s="11"/>
      <c r="BI64" s="17"/>
      <c r="BJ64" s="7"/>
      <c r="BK64" s="8"/>
      <c r="BL64" s="8"/>
      <c r="BM64" s="8"/>
      <c r="BN64" s="8"/>
      <c r="BO64" s="8"/>
      <c r="BP64" s="12"/>
      <c r="BQ64" s="22"/>
      <c r="BR64" s="31"/>
      <c r="BS64" s="32"/>
      <c r="BT64" s="32"/>
      <c r="BU64" s="32"/>
      <c r="BV64" s="32"/>
      <c r="BW64" s="32"/>
      <c r="BX64" s="32"/>
      <c r="BY64" s="32"/>
      <c r="BZ64" s="12"/>
      <c r="CA64" s="12"/>
    </row>
    <row r="65" spans="1:79" ht="12.75" customHeight="1" thickBot="1" x14ac:dyDescent="0.3">
      <c r="F65" s="52"/>
      <c r="G65" s="52"/>
      <c r="H65" s="52"/>
      <c r="I65" s="53"/>
      <c r="J65" s="54"/>
      <c r="K65" s="54"/>
      <c r="L65" s="54"/>
      <c r="M65" s="55" t="s">
        <v>32</v>
      </c>
      <c r="P65" s="18"/>
      <c r="Q65" s="18"/>
      <c r="R65" s="18"/>
      <c r="S65" s="18"/>
      <c r="T65" s="18"/>
      <c r="U65" s="19"/>
      <c r="V65" s="19"/>
      <c r="W65" s="19"/>
      <c r="X65" s="19"/>
      <c r="Y65" s="19"/>
      <c r="Z65" s="19"/>
      <c r="AA65" s="65"/>
      <c r="AW65" s="44"/>
      <c r="AX65" s="45"/>
      <c r="AY65" s="45"/>
      <c r="AZ65" s="58"/>
      <c r="BA65" s="45"/>
      <c r="BB65" s="45"/>
      <c r="BC65" s="45"/>
      <c r="BD65" s="46"/>
      <c r="BE65" s="46"/>
      <c r="BF65" s="46"/>
      <c r="BG65" s="46"/>
      <c r="BH65" s="46"/>
      <c r="BI65" s="47"/>
      <c r="BJ65" s="7"/>
    </row>
    <row r="66" spans="1:79" ht="13.5" customHeight="1" thickBot="1" x14ac:dyDescent="0.25">
      <c r="A66" s="1"/>
      <c r="B66" s="2" t="s">
        <v>98</v>
      </c>
      <c r="C66" s="3"/>
      <c r="D66" s="4"/>
      <c r="E66" s="3"/>
      <c r="F66" s="102" t="s">
        <v>1</v>
      </c>
      <c r="G66" s="102"/>
      <c r="H66" s="102"/>
      <c r="I66" s="5"/>
      <c r="J66" s="92"/>
      <c r="K66" s="92"/>
      <c r="L66" s="92"/>
      <c r="M66" s="5" t="s">
        <v>2</v>
      </c>
      <c r="N66" s="6"/>
      <c r="O66" s="7"/>
      <c r="P66" s="18"/>
      <c r="Q66" s="18"/>
      <c r="R66" s="18"/>
      <c r="S66" s="18"/>
      <c r="T66" s="18"/>
      <c r="U66" s="19"/>
      <c r="V66" s="19"/>
      <c r="W66" s="19"/>
      <c r="X66" s="19"/>
      <c r="Y66" s="19"/>
      <c r="Z66" s="19"/>
      <c r="AC66" s="103" t="s">
        <v>98</v>
      </c>
      <c r="AD66" s="105" t="s">
        <v>3</v>
      </c>
      <c r="AE66" s="105" t="s">
        <v>4</v>
      </c>
      <c r="AF66" s="105" t="s">
        <v>5</v>
      </c>
      <c r="AG66" s="105" t="s">
        <v>6</v>
      </c>
      <c r="AH66" s="107" t="s">
        <v>2</v>
      </c>
      <c r="AI66" s="9"/>
      <c r="AV66" s="7"/>
      <c r="BE66" s="8"/>
      <c r="BG66" s="8"/>
      <c r="BJ66" s="7"/>
      <c r="BK66" s="9"/>
      <c r="BL66" s="9"/>
      <c r="BM66" s="9"/>
      <c r="BN66" s="9"/>
      <c r="BO66" s="9"/>
    </row>
    <row r="67" spans="1:79" ht="13.5" customHeight="1" thickBot="1" x14ac:dyDescent="0.3">
      <c r="A67" s="13"/>
      <c r="B67" s="7" t="s">
        <v>26</v>
      </c>
      <c r="C67" s="7" t="s">
        <v>99</v>
      </c>
      <c r="D67" s="11" t="s">
        <v>9</v>
      </c>
      <c r="E67" s="7" t="s">
        <v>100</v>
      </c>
      <c r="F67" s="14">
        <f>[1]Ergebniss!G67</f>
        <v>0</v>
      </c>
      <c r="G67" s="15" t="s">
        <v>11</v>
      </c>
      <c r="H67" s="14">
        <f>[1]Ergebniss!I67</f>
        <v>0</v>
      </c>
      <c r="I67" s="11"/>
      <c r="J67" s="87"/>
      <c r="K67" s="15" t="s">
        <v>11</v>
      </c>
      <c r="L67" s="87"/>
      <c r="M67" s="16" t="str">
        <f>IF(OR(ISBLANK([1]Ergebniss!I67)),"",
IF(AND(L67=$H67,$F67=J67),3,IF(L67-J67=$H67-$F67,2,
IF(OR(AND($F67&lt;$H67,J67&lt;L67),AND($F67&gt;$H67,J67&gt;L67)),1,0))))</f>
        <v/>
      </c>
      <c r="N67" s="17"/>
      <c r="O67" s="7"/>
      <c r="P67" s="18" t="str">
        <f t="shared" ref="P67:P72" si="66">C67</f>
        <v>Kolumbien</v>
      </c>
      <c r="Q67" s="18">
        <f t="shared" ref="Q67:Q72" si="67">J67</f>
        <v>0</v>
      </c>
      <c r="R67" s="18" t="str">
        <f t="shared" ref="R67:R72" si="68">C67</f>
        <v>Kolumbien</v>
      </c>
      <c r="S67" s="18">
        <f t="shared" ref="S67:S72" si="69">L67</f>
        <v>0</v>
      </c>
      <c r="T67" s="18" t="str">
        <f t="shared" ref="T67:T72" si="70">E67</f>
        <v>Japan</v>
      </c>
      <c r="U67" s="19">
        <f t="shared" ref="U67:U72" si="71">L67</f>
        <v>0</v>
      </c>
      <c r="V67" s="19" t="str">
        <f t="shared" ref="V67:V72" si="72">E67</f>
        <v>Japan</v>
      </c>
      <c r="W67" s="19">
        <f t="shared" ref="W67:W72" si="73">J67</f>
        <v>0</v>
      </c>
      <c r="X67" s="19" t="str">
        <f t="shared" ref="X67:X72" si="74">IF(J67="","",IF(L67="","",IF(J67&gt;L67,CONCATENATE(C67,"_win"),IF(J67&lt;L67,CONCATENATE(C67,"_lose"),CONCATENATE(C67,"_draw")))))</f>
        <v/>
      </c>
      <c r="Y67" s="19" t="str">
        <f t="shared" ref="Y67:Y72" si="75">IF(J67="","",IF(L67="","",IF(J67&gt;L67,CONCATENATE(E67,"_lose"),IF(J67&lt;L67,CONCATENATE(E67,"_win"),CONCATENATE(E67,"_draw")))))</f>
        <v/>
      </c>
      <c r="Z67" s="19"/>
      <c r="AC67" s="104"/>
      <c r="AD67" s="106"/>
      <c r="AE67" s="106"/>
      <c r="AF67" s="106"/>
      <c r="AG67" s="106"/>
      <c r="AH67" s="108"/>
      <c r="AI67" s="9"/>
      <c r="AJ67" s="90" t="s">
        <v>101</v>
      </c>
      <c r="AK67" s="91"/>
      <c r="AL67" s="91"/>
      <c r="AM67" s="91"/>
      <c r="AN67" s="91"/>
      <c r="AO67" s="2"/>
      <c r="AP67" s="92"/>
      <c r="AQ67" s="92"/>
      <c r="AR67" s="92"/>
      <c r="AS67" s="2"/>
      <c r="AT67" s="20" t="s">
        <v>13</v>
      </c>
      <c r="AU67" s="21"/>
      <c r="AV67" s="7"/>
      <c r="AZ67" s="93" t="str">
        <f>CC34</f>
        <v>Weltmeister</v>
      </c>
      <c r="BA67" s="93"/>
      <c r="BB67" s="93"/>
      <c r="BC67" s="93"/>
      <c r="BD67" s="93"/>
      <c r="BE67" s="93"/>
      <c r="BF67" s="93"/>
      <c r="BG67" s="67"/>
      <c r="BH67" s="56"/>
      <c r="BJ67" s="7"/>
      <c r="BK67" s="9"/>
      <c r="BL67" s="9"/>
      <c r="BM67" s="9"/>
      <c r="BN67" s="9"/>
      <c r="BO67" s="9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</row>
    <row r="68" spans="1:79" ht="13.5" customHeight="1" x14ac:dyDescent="0.25">
      <c r="A68" s="13"/>
      <c r="B68" s="7" t="s">
        <v>26</v>
      </c>
      <c r="C68" s="7" t="s">
        <v>102</v>
      </c>
      <c r="D68" s="11" t="s">
        <v>9</v>
      </c>
      <c r="E68" s="7" t="s">
        <v>103</v>
      </c>
      <c r="F68" s="14">
        <f>[1]Ergebniss!G68</f>
        <v>0</v>
      </c>
      <c r="G68" s="15" t="s">
        <v>11</v>
      </c>
      <c r="H68" s="14">
        <f>[1]Ergebniss!I68</f>
        <v>0</v>
      </c>
      <c r="I68" s="11"/>
      <c r="J68" s="88"/>
      <c r="K68" s="15" t="s">
        <v>11</v>
      </c>
      <c r="L68" s="88"/>
      <c r="M68" s="16" t="str">
        <f>IF(OR(ISBLANK([1]Ergebniss!I68)),"",
IF(AND(L68=$H68,$F68=J68),3,IF(L68-J68=$H68-$F68,2,
IF(OR(AND($F68&lt;$H68,J68&lt;L68),AND($F68&gt;$H68,J68&gt;L68)),1,0))))</f>
        <v/>
      </c>
      <c r="N68" s="17"/>
      <c r="O68" s="7"/>
      <c r="P68" s="18" t="str">
        <f t="shared" si="66"/>
        <v>Polen</v>
      </c>
      <c r="Q68" s="18">
        <f t="shared" si="67"/>
        <v>0</v>
      </c>
      <c r="R68" s="18" t="str">
        <f t="shared" si="68"/>
        <v>Polen</v>
      </c>
      <c r="S68" s="18">
        <f t="shared" si="69"/>
        <v>0</v>
      </c>
      <c r="T68" s="18" t="str">
        <f t="shared" si="70"/>
        <v>Senegal</v>
      </c>
      <c r="U68" s="19">
        <f t="shared" si="71"/>
        <v>0</v>
      </c>
      <c r="V68" s="19" t="str">
        <f t="shared" si="72"/>
        <v>Senegal</v>
      </c>
      <c r="W68" s="19">
        <f t="shared" si="73"/>
        <v>0</v>
      </c>
      <c r="X68" s="19" t="str">
        <f t="shared" si="74"/>
        <v/>
      </c>
      <c r="Y68" s="19" t="str">
        <f t="shared" si="75"/>
        <v/>
      </c>
      <c r="Z68" s="19"/>
      <c r="AC68" s="23" t="str">
        <f>VLOOKUP(4,BQ69:BX72,2,FALSE)</f>
        <v>Japan</v>
      </c>
      <c r="AD68" s="24">
        <f>VLOOKUP(4,BQ69:BX72,3,FALSE)</f>
        <v>0</v>
      </c>
      <c r="AE68" s="24">
        <f>VLOOKUP(4,BQ69:BX72,4,FALSE)</f>
        <v>0</v>
      </c>
      <c r="AF68" s="24">
        <f>VLOOKUP(4,BQ69:BX72,5,FALSE)</f>
        <v>0</v>
      </c>
      <c r="AG68" s="24" t="str">
        <f>CONCATENATE(VLOOKUP(4,BQ69:BX72,6,FALSE)," - ",VLOOKUP(4,BQ69:BX72,7,FALSE))</f>
        <v>0 - 0</v>
      </c>
      <c r="AH68" s="25">
        <f>VLOOKUP(4,BQ69:BX72,8,FALSE)</f>
        <v>0</v>
      </c>
      <c r="AI68" s="26"/>
      <c r="AJ68" s="95" t="s">
        <v>25</v>
      </c>
      <c r="AK68" s="96"/>
      <c r="AL68" s="27" t="str">
        <f>CA69</f>
        <v>Sieger Gruppe H</v>
      </c>
      <c r="AM68" s="7" t="s">
        <v>9</v>
      </c>
      <c r="AN68" s="27" t="str">
        <f>CA61</f>
        <v>Zweiter Gruppe G</v>
      </c>
      <c r="AO68" s="7"/>
      <c r="AP68" s="87"/>
      <c r="AQ68" s="15" t="s">
        <v>11</v>
      </c>
      <c r="AR68" s="87"/>
      <c r="AS68" s="11"/>
      <c r="AT68" s="29"/>
      <c r="AU68" s="30"/>
      <c r="AV68" s="7"/>
      <c r="AW68" s="7"/>
      <c r="AX68" s="7"/>
      <c r="AY68" s="7"/>
      <c r="AZ68" s="94"/>
      <c r="BA68" s="94"/>
      <c r="BB68" s="94"/>
      <c r="BC68" s="94"/>
      <c r="BD68" s="94"/>
      <c r="BE68" s="94"/>
      <c r="BF68" s="94"/>
      <c r="BG68" s="65"/>
      <c r="BH68" s="29"/>
      <c r="BI68" s="7"/>
      <c r="BJ68" s="7"/>
      <c r="BK68" s="26"/>
      <c r="BL68" s="26"/>
      <c r="BM68" s="26"/>
      <c r="BN68" s="26"/>
      <c r="BO68" s="26"/>
      <c r="BP68" s="12"/>
      <c r="BQ68" s="22" t="s">
        <v>15</v>
      </c>
      <c r="BR68" s="22" t="s">
        <v>98</v>
      </c>
      <c r="BS68" s="22" t="s">
        <v>16</v>
      </c>
      <c r="BT68" s="22" t="s">
        <v>17</v>
      </c>
      <c r="BU68" s="22" t="s">
        <v>18</v>
      </c>
      <c r="BV68" s="22" t="s">
        <v>6</v>
      </c>
      <c r="BW68" s="22" t="s">
        <v>19</v>
      </c>
      <c r="BX68" s="22" t="s">
        <v>2</v>
      </c>
      <c r="BY68" s="22" t="s">
        <v>20</v>
      </c>
      <c r="BZ68" s="12"/>
      <c r="CA68" s="12"/>
    </row>
    <row r="69" spans="1:79" ht="13.5" customHeight="1" thickBot="1" x14ac:dyDescent="0.3">
      <c r="A69" s="13"/>
      <c r="B69" s="7" t="s">
        <v>94</v>
      </c>
      <c r="C69" s="7" t="s">
        <v>100</v>
      </c>
      <c r="D69" s="11" t="s">
        <v>9</v>
      </c>
      <c r="E69" s="7" t="s">
        <v>103</v>
      </c>
      <c r="F69" s="14">
        <f>[1]Ergebniss!G69</f>
        <v>0</v>
      </c>
      <c r="G69" s="15" t="s">
        <v>11</v>
      </c>
      <c r="H69" s="14">
        <f>[1]Ergebniss!I69</f>
        <v>0</v>
      </c>
      <c r="I69" s="11"/>
      <c r="J69" s="87"/>
      <c r="K69" s="15" t="s">
        <v>11</v>
      </c>
      <c r="L69" s="88"/>
      <c r="M69" s="16" t="str">
        <f>IF(OR(ISBLANK([1]Ergebniss!I69)),"",
IF(AND(L69=$H69,$F69=J69),3,IF(L69-J69=$H69-$F69,2,
IF(OR(AND($F69&lt;$H69,J69&lt;L69),AND($F69&gt;$H69,J69&gt;L69)),1,0))))</f>
        <v/>
      </c>
      <c r="N69" s="17"/>
      <c r="O69" s="7"/>
      <c r="P69" s="18" t="str">
        <f t="shared" si="66"/>
        <v>Japan</v>
      </c>
      <c r="Q69" s="18">
        <f t="shared" si="67"/>
        <v>0</v>
      </c>
      <c r="R69" s="18" t="str">
        <f t="shared" si="68"/>
        <v>Japan</v>
      </c>
      <c r="S69" s="18">
        <f t="shared" si="69"/>
        <v>0</v>
      </c>
      <c r="T69" s="18" t="str">
        <f t="shared" si="70"/>
        <v>Senegal</v>
      </c>
      <c r="U69" s="19">
        <f t="shared" si="71"/>
        <v>0</v>
      </c>
      <c r="V69" s="19" t="str">
        <f t="shared" si="72"/>
        <v>Senegal</v>
      </c>
      <c r="W69" s="19">
        <f t="shared" si="73"/>
        <v>0</v>
      </c>
      <c r="X69" s="19" t="str">
        <f t="shared" si="74"/>
        <v/>
      </c>
      <c r="Y69" s="19" t="str">
        <f t="shared" si="75"/>
        <v/>
      </c>
      <c r="Z69" s="19"/>
      <c r="AC69" s="34" t="str">
        <f>VLOOKUP(3,BQ69:BX72,2,FALSE)</f>
        <v>Kolumbien</v>
      </c>
      <c r="AD69" s="35">
        <f>VLOOKUP(3,BQ69:BX72,3,FALSE)</f>
        <v>0</v>
      </c>
      <c r="AE69" s="35">
        <f>VLOOKUP(3,BQ69:BX72,4,FALSE)</f>
        <v>0</v>
      </c>
      <c r="AF69" s="35">
        <f>VLOOKUP(3,BQ69:BX72,5,FALSE)</f>
        <v>0</v>
      </c>
      <c r="AG69" s="35" t="str">
        <f>CONCATENATE(VLOOKUP(3,BQ69:BX72,6,FALSE)," - ",VLOOKUP(3,BQ69:BX72,7,FALSE))</f>
        <v>0 - 0</v>
      </c>
      <c r="AH69" s="36">
        <f>VLOOKUP(3,BQ69:BX72,8,FALSE)</f>
        <v>0</v>
      </c>
      <c r="AI69" s="26"/>
      <c r="AJ69" s="13"/>
      <c r="AK69" s="7"/>
      <c r="AL69" s="7"/>
      <c r="AM69" s="7"/>
      <c r="AN69" s="7"/>
      <c r="AO69" s="7"/>
      <c r="AP69" s="11"/>
      <c r="AQ69" s="11"/>
      <c r="AR69" s="11"/>
      <c r="AS69" s="11"/>
      <c r="AT69" s="11"/>
      <c r="AU69" s="17"/>
      <c r="AV69" s="7"/>
      <c r="AW69" s="7"/>
      <c r="AX69" s="65"/>
      <c r="AY69" s="65"/>
      <c r="AZ69" s="97" t="s">
        <v>104</v>
      </c>
      <c r="BA69" s="97"/>
      <c r="BB69" s="97"/>
      <c r="BC69" s="97"/>
      <c r="BD69" s="97"/>
      <c r="BE69" s="97"/>
      <c r="BF69" s="97"/>
      <c r="BG69" s="11"/>
      <c r="BH69" s="11"/>
      <c r="BI69" s="7"/>
      <c r="BJ69" s="7"/>
      <c r="BK69" s="26"/>
      <c r="BL69" s="26"/>
      <c r="BM69" s="26"/>
      <c r="BN69" s="26"/>
      <c r="BO69" s="26"/>
      <c r="BP69" s="12"/>
      <c r="BQ69" s="22">
        <f>IF(BY69&gt;BY69,1,0)+IF(BY69&gt;BY70,1,0)+IF(BY69&gt;BY71,1,0)+IF(BY69&gt;BY72,1,0)+1</f>
        <v>4</v>
      </c>
      <c r="BR69" s="31" t="s">
        <v>100</v>
      </c>
      <c r="BS69" s="32">
        <f>COUNTIF($X$67:$Z$72,CONCATENATE(BR69,"_win"))</f>
        <v>0</v>
      </c>
      <c r="BT69" s="32">
        <f>COUNTIF($X$67:$Z$72,CONCATENATE(BR69,"_draw"))</f>
        <v>0</v>
      </c>
      <c r="BU69" s="32">
        <f>COUNTIF($X$67:$Z$72,CONCATENATE(BR69,"_lose"))</f>
        <v>0</v>
      </c>
      <c r="BV69" s="32">
        <f>SUMIF($T$67:$T$72,CONCATENATE("=",BR69),$U$67:$U$72)+SUMIF($P$67:$P$72,CONCATENATE("=",BR69),$Q$67:$Q$72)</f>
        <v>0</v>
      </c>
      <c r="BW69" s="32">
        <f>SUMIF($V$67:$V$72,CONCATENATE("=",BR69),$W$67:$W$72)+SUMIF($R$67:$R$72,CONCATENATE("=",BR69),$S$67:$S$72)</f>
        <v>0</v>
      </c>
      <c r="BX69" s="32">
        <f>BS69*3+BT69</f>
        <v>0</v>
      </c>
      <c r="BY69" s="32">
        <f>0.4+BV69+(BV69-BW69)*100+BS69*1000+BX69*10000</f>
        <v>0.4</v>
      </c>
      <c r="BZ69" s="12"/>
      <c r="CA69" s="31" t="str">
        <f>IF(SUM(BS69:BU72)=12,AC68,"Sieger Gruppe H")</f>
        <v>Sieger Gruppe H</v>
      </c>
    </row>
    <row r="70" spans="1:79" ht="13.5" customHeight="1" x14ac:dyDescent="0.25">
      <c r="A70" s="13"/>
      <c r="B70" s="7" t="s">
        <v>94</v>
      </c>
      <c r="C70" s="7" t="s">
        <v>102</v>
      </c>
      <c r="D70" s="11" t="s">
        <v>9</v>
      </c>
      <c r="E70" s="7" t="s">
        <v>99</v>
      </c>
      <c r="F70" s="14">
        <f>[1]Ergebniss!G70</f>
        <v>0</v>
      </c>
      <c r="G70" s="15" t="s">
        <v>11</v>
      </c>
      <c r="H70" s="14">
        <f>[1]Ergebniss!I70</f>
        <v>0</v>
      </c>
      <c r="I70" s="11"/>
      <c r="J70" s="88"/>
      <c r="K70" s="15" t="s">
        <v>11</v>
      </c>
      <c r="L70" s="88"/>
      <c r="M70" s="16" t="str">
        <f>IF(OR(ISBLANK([1]Ergebniss!I70)),"",
IF(AND(L70=$H70,$F70=J70),3,IF(L70-J70=$H70-$F70,2,
IF(OR(AND($F70&lt;$H70,J70&lt;L70),AND($F70&gt;$H70,J70&gt;L70)),1,0))))</f>
        <v/>
      </c>
      <c r="N70" s="17"/>
      <c r="O70" s="7"/>
      <c r="P70" s="18" t="str">
        <f t="shared" si="66"/>
        <v>Polen</v>
      </c>
      <c r="Q70" s="18">
        <f t="shared" si="67"/>
        <v>0</v>
      </c>
      <c r="R70" s="18" t="str">
        <f t="shared" si="68"/>
        <v>Polen</v>
      </c>
      <c r="S70" s="18">
        <f t="shared" si="69"/>
        <v>0</v>
      </c>
      <c r="T70" s="18" t="str">
        <f t="shared" si="70"/>
        <v>Kolumbien</v>
      </c>
      <c r="U70" s="19">
        <f t="shared" si="71"/>
        <v>0</v>
      </c>
      <c r="V70" s="19" t="str">
        <f t="shared" si="72"/>
        <v>Kolumbien</v>
      </c>
      <c r="W70" s="19">
        <f t="shared" si="73"/>
        <v>0</v>
      </c>
      <c r="X70" s="19" t="str">
        <f t="shared" si="74"/>
        <v/>
      </c>
      <c r="Y70" s="19" t="str">
        <f t="shared" si="75"/>
        <v/>
      </c>
      <c r="Z70" s="19"/>
      <c r="AC70" s="38" t="str">
        <f>VLOOKUP(2,BQ69:BX72,2,FALSE)</f>
        <v>Polen</v>
      </c>
      <c r="AD70" s="26">
        <f>VLOOKUP(2,BQ69:BX72,3,FALSE)</f>
        <v>0</v>
      </c>
      <c r="AE70" s="26">
        <f>VLOOKUP(2,BQ69:BX72,4,FALSE)</f>
        <v>0</v>
      </c>
      <c r="AF70" s="26">
        <f>VLOOKUP(2,BQ69:BX72,5,FALSE)</f>
        <v>0</v>
      </c>
      <c r="AG70" s="26" t="str">
        <f>CONCATENATE(VLOOKUP(2,BQ69:BX72,6,FALSE)," - ",VLOOKUP(2,BQ69:BX72,7,FALSE))</f>
        <v>0 - 0</v>
      </c>
      <c r="AH70" s="39">
        <f>VLOOKUP(2,BQ69:BX72,8,FALSE)</f>
        <v>0</v>
      </c>
      <c r="AI70" s="26"/>
      <c r="AJ70" s="99" t="s">
        <v>95</v>
      </c>
      <c r="AK70" s="100"/>
      <c r="AL70" s="7" t="str">
        <f>[1]Ergebniss!AH68</f>
        <v>Sieger Gruppe H</v>
      </c>
      <c r="AM70" s="7" t="s">
        <v>9</v>
      </c>
      <c r="AN70" s="7" t="str">
        <f>[1]Ergebniss!AJ68</f>
        <v>Zweiter Gruppe G</v>
      </c>
      <c r="AO70" s="7"/>
      <c r="AP70" s="40"/>
      <c r="AQ70" s="40"/>
      <c r="AR70" s="40"/>
      <c r="AS70" s="11"/>
      <c r="AT70" s="29"/>
      <c r="AU70" s="17"/>
      <c r="AV70" s="7"/>
      <c r="AW70" s="7"/>
      <c r="AX70" s="65"/>
      <c r="AY70" s="65"/>
      <c r="AZ70" s="98"/>
      <c r="BA70" s="98"/>
      <c r="BB70" s="98"/>
      <c r="BC70" s="98"/>
      <c r="BD70" s="98"/>
      <c r="BE70" s="98"/>
      <c r="BF70" s="98"/>
      <c r="BG70" s="8"/>
      <c r="BI70" s="7"/>
      <c r="BJ70" s="7"/>
      <c r="BK70" s="26"/>
      <c r="BL70" s="26"/>
      <c r="BM70" s="26"/>
      <c r="BN70" s="26"/>
      <c r="BO70" s="26"/>
      <c r="BP70" s="12"/>
      <c r="BQ70" s="22">
        <f>IF(BY70&gt;BY69,1,0)+IF(BY70&gt;BY70,1,0)+IF(BY70&gt;BY71,1,0)+IF(BY70&gt;BY72,1,0)+1</f>
        <v>3</v>
      </c>
      <c r="BR70" s="31" t="s">
        <v>99</v>
      </c>
      <c r="BS70" s="32">
        <f>COUNTIF($X$67:$Z$72,CONCATENATE(BR70,"_win"))</f>
        <v>0</v>
      </c>
      <c r="BT70" s="32">
        <f>COUNTIF($X$67:$Z$72,CONCATENATE(BR70,"_draw"))</f>
        <v>0</v>
      </c>
      <c r="BU70" s="32">
        <f>COUNTIF($X$67:$Z$72,CONCATENATE(BR70,"_lose"))</f>
        <v>0</v>
      </c>
      <c r="BV70" s="32">
        <f>SUMIF($T$67:$T$72,CONCATENATE("=",BR70),$U$67:$U$72)+SUMIF($P$67:$P$72,CONCATENATE("=",BR70),$Q$67:$Q$72)</f>
        <v>0</v>
      </c>
      <c r="BW70" s="32">
        <f>SUMIF($V$67:$V$72,CONCATENATE("=",BR70),$W$67:$W$72)+SUMIF($R$67:$R$72,CONCATENATE("=",BR70),$S$67:$S$72)</f>
        <v>0</v>
      </c>
      <c r="BX70" s="32">
        <f>BS70*3+BT70</f>
        <v>0</v>
      </c>
      <c r="BY70" s="32">
        <f>0.3+BV70+(BV70-BW70)*100+BS70*1000+BX70*10000</f>
        <v>0.3</v>
      </c>
      <c r="BZ70" s="12"/>
      <c r="CA70" s="31" t="str">
        <f>IF(SUM(BS69:BU72)=12,AC69,"Zweiter Gruppe H")</f>
        <v>Zweiter Gruppe H</v>
      </c>
    </row>
    <row r="71" spans="1:79" ht="13.5" customHeight="1" thickBot="1" x14ac:dyDescent="0.3">
      <c r="A71" s="13"/>
      <c r="B71" s="7" t="s">
        <v>96</v>
      </c>
      <c r="C71" s="7" t="s">
        <v>103</v>
      </c>
      <c r="D71" s="11" t="s">
        <v>9</v>
      </c>
      <c r="E71" s="7" t="s">
        <v>99</v>
      </c>
      <c r="F71" s="14">
        <f>[1]Ergebniss!G71</f>
        <v>0</v>
      </c>
      <c r="G71" s="15" t="s">
        <v>11</v>
      </c>
      <c r="H71" s="14">
        <f>[1]Ergebniss!I71</f>
        <v>0</v>
      </c>
      <c r="I71" s="11"/>
      <c r="J71" s="87"/>
      <c r="K71" s="15" t="s">
        <v>11</v>
      </c>
      <c r="L71" s="88"/>
      <c r="M71" s="16" t="str">
        <f>IF(OR(ISBLANK([1]Ergebniss!I71)),"",
IF(AND(L71=$H71,$F71=J71),3,IF(L71-J71=$H71-$F71,2,
IF(OR(AND($F71&lt;$H71,J71&lt;L71),AND($F71&gt;$H71,J71&gt;L71)),1,0))))</f>
        <v/>
      </c>
      <c r="N71" s="17"/>
      <c r="O71" s="7"/>
      <c r="P71" s="18" t="str">
        <f t="shared" si="66"/>
        <v>Senegal</v>
      </c>
      <c r="Q71" s="18">
        <f t="shared" si="67"/>
        <v>0</v>
      </c>
      <c r="R71" s="18" t="str">
        <f t="shared" si="68"/>
        <v>Senegal</v>
      </c>
      <c r="S71" s="18">
        <f t="shared" si="69"/>
        <v>0</v>
      </c>
      <c r="T71" s="18" t="str">
        <f t="shared" si="70"/>
        <v>Kolumbien</v>
      </c>
      <c r="U71" s="19">
        <f t="shared" si="71"/>
        <v>0</v>
      </c>
      <c r="V71" s="19" t="str">
        <f t="shared" si="72"/>
        <v>Kolumbien</v>
      </c>
      <c r="W71" s="19">
        <f t="shared" si="73"/>
        <v>0</v>
      </c>
      <c r="X71" s="19" t="str">
        <f t="shared" si="74"/>
        <v/>
      </c>
      <c r="Y71" s="19" t="str">
        <f t="shared" si="75"/>
        <v/>
      </c>
      <c r="Z71" s="19"/>
      <c r="AC71" s="41" t="str">
        <f>VLOOKUP(1,BQ69:BX72,2,FALSE)</f>
        <v>Senegal</v>
      </c>
      <c r="AD71" s="42">
        <f>VLOOKUP(1,BQ69:BX72,3,FALSE)</f>
        <v>0</v>
      </c>
      <c r="AE71" s="42">
        <f>VLOOKUP(1,BQ69:BX72,4,FALSE)</f>
        <v>0</v>
      </c>
      <c r="AF71" s="42">
        <f>VLOOKUP(1,BQ69:BX72,5,FALSE)</f>
        <v>0</v>
      </c>
      <c r="AG71" s="42" t="str">
        <f>CONCATENATE(VLOOKUP(1,BQ69:BX72,6,FALSE)," - ",VLOOKUP(1,BQ69:BX72,7,FALSE))</f>
        <v>0 - 0</v>
      </c>
      <c r="AH71" s="43">
        <f>VLOOKUP(1,BQ69:BX72,8,FALSE)</f>
        <v>0</v>
      </c>
      <c r="AI71" s="26"/>
      <c r="AJ71" s="44"/>
      <c r="AK71" s="45"/>
      <c r="AL71" s="45"/>
      <c r="AM71" s="45"/>
      <c r="AN71" s="45"/>
      <c r="AO71" s="45"/>
      <c r="AP71" s="46"/>
      <c r="AQ71" s="46"/>
      <c r="AR71" s="46"/>
      <c r="AS71" s="46"/>
      <c r="AT71" s="46"/>
      <c r="AU71" s="47"/>
      <c r="AV71" s="7"/>
      <c r="AW71" s="7"/>
      <c r="AX71" s="7"/>
      <c r="AY71" s="7"/>
      <c r="AZ71" s="98"/>
      <c r="BA71" s="98"/>
      <c r="BB71" s="98"/>
      <c r="BC71" s="98"/>
      <c r="BD71" s="98"/>
      <c r="BE71" s="98"/>
      <c r="BF71" s="98"/>
      <c r="BG71" s="67"/>
      <c r="BH71" s="67"/>
      <c r="BI71" s="7"/>
      <c r="BJ71" s="7"/>
      <c r="BK71" s="26"/>
      <c r="BL71" s="26"/>
      <c r="BM71" s="26"/>
      <c r="BN71" s="26"/>
      <c r="BO71" s="26"/>
      <c r="BP71" s="12"/>
      <c r="BQ71" s="22">
        <f>IF(BY71&gt;BY69,1,0)+IF(BY71&gt;BY70,1,0)+IF(BY71&gt;BY71,1,0)+IF(BY71&gt;BY72,1,0)+1</f>
        <v>2</v>
      </c>
      <c r="BR71" s="31" t="s">
        <v>102</v>
      </c>
      <c r="BS71" s="32">
        <f>COUNTIF($X$67:$Z$72,CONCATENATE(BR71,"_win"))</f>
        <v>0</v>
      </c>
      <c r="BT71" s="32">
        <f>COUNTIF($X$67:$Z$72,CONCATENATE(BR71,"_draw"))</f>
        <v>0</v>
      </c>
      <c r="BU71" s="32">
        <f>COUNTIF($X$67:$Z$72,CONCATENATE(BR71,"_lose"))</f>
        <v>0</v>
      </c>
      <c r="BV71" s="32">
        <f>SUMIF($T$67:$T$72,CONCATENATE("=",BR71),$U$67:$U$72)+SUMIF($P$67:$P$72,CONCATENATE("=",BR71),$Q$67:$Q$72)</f>
        <v>0</v>
      </c>
      <c r="BW71" s="32">
        <f>SUMIF($V$67:$V$72,CONCATENATE("=",BR71),$W$67:$W$72)+SUMIF($R$67:$R$72,CONCATENATE("=",BR71),$S$67:$S$72)</f>
        <v>0</v>
      </c>
      <c r="BX71" s="32">
        <f>BS71*3+BT71</f>
        <v>0</v>
      </c>
      <c r="BY71" s="32">
        <f>0.2+BV71+(BV71-BW71)*100+BS71*1000+BX71*10000</f>
        <v>0.2</v>
      </c>
      <c r="BZ71" s="12"/>
      <c r="CA71" s="12"/>
    </row>
    <row r="72" spans="1:79" ht="13.5" customHeight="1" x14ac:dyDescent="0.25">
      <c r="A72" s="13"/>
      <c r="B72" s="7" t="s">
        <v>96</v>
      </c>
      <c r="C72" s="7" t="s">
        <v>100</v>
      </c>
      <c r="D72" s="11" t="s">
        <v>9</v>
      </c>
      <c r="E72" s="7" t="s">
        <v>102</v>
      </c>
      <c r="F72" s="14">
        <f>[1]Ergebniss!G72</f>
        <v>0</v>
      </c>
      <c r="G72" s="15" t="s">
        <v>11</v>
      </c>
      <c r="H72" s="14">
        <f>[1]Ergebniss!I72</f>
        <v>0</v>
      </c>
      <c r="I72" s="11"/>
      <c r="J72" s="87"/>
      <c r="K72" s="15" t="s">
        <v>11</v>
      </c>
      <c r="L72" s="88"/>
      <c r="M72" s="16" t="str">
        <f>IF(OR(ISBLANK([1]Ergebniss!I72)),"",
IF(AND(L72=$H72,$F72=J72),3,IF(L72-J72=$H72-$F72,2,
IF(OR(AND($F72&lt;$H72,J72&lt;L72),AND($F72&gt;$H72,J72&gt;L72)),1,0))))</f>
        <v/>
      </c>
      <c r="N72" s="17"/>
      <c r="O72" s="7"/>
      <c r="P72" s="18" t="str">
        <f t="shared" si="66"/>
        <v>Japan</v>
      </c>
      <c r="Q72" s="18">
        <f t="shared" si="67"/>
        <v>0</v>
      </c>
      <c r="R72" s="18" t="str">
        <f t="shared" si="68"/>
        <v>Japan</v>
      </c>
      <c r="S72" s="18">
        <f t="shared" si="69"/>
        <v>0</v>
      </c>
      <c r="T72" s="18" t="str">
        <f t="shared" si="70"/>
        <v>Polen</v>
      </c>
      <c r="U72" s="19">
        <f t="shared" si="71"/>
        <v>0</v>
      </c>
      <c r="V72" s="19" t="str">
        <f t="shared" si="72"/>
        <v>Polen</v>
      </c>
      <c r="W72" s="19">
        <f t="shared" si="73"/>
        <v>0</v>
      </c>
      <c r="X72" s="19" t="str">
        <f t="shared" si="74"/>
        <v/>
      </c>
      <c r="Y72" s="19" t="str">
        <f t="shared" si="75"/>
        <v/>
      </c>
      <c r="Z72" s="19"/>
      <c r="AC72" s="8"/>
      <c r="AD72" s="8"/>
      <c r="AE72" s="8"/>
      <c r="AF72" s="8"/>
      <c r="AG72" s="8"/>
      <c r="AH72" s="8"/>
      <c r="AI72" s="8"/>
      <c r="AJ72" s="7"/>
      <c r="AK72" s="7"/>
      <c r="AL72" s="68"/>
      <c r="AM72" s="7"/>
      <c r="AN72" s="7"/>
      <c r="AO72" s="7"/>
      <c r="AP72" s="11"/>
      <c r="AQ72" s="11"/>
      <c r="AR72" s="11"/>
      <c r="AS72" s="11"/>
      <c r="AT72" s="11"/>
      <c r="AU72" s="7"/>
      <c r="AV72" s="7"/>
      <c r="AW72" s="68"/>
      <c r="AX72" s="7"/>
      <c r="AY72" s="7"/>
      <c r="AZ72" s="89" t="s">
        <v>105</v>
      </c>
      <c r="BA72" s="89"/>
      <c r="BB72" s="89"/>
      <c r="BC72" s="89"/>
      <c r="BD72" s="89"/>
      <c r="BE72" s="89"/>
      <c r="BF72" s="89"/>
      <c r="BG72" s="11"/>
      <c r="BH72" s="11"/>
      <c r="BI72" s="7"/>
      <c r="BJ72" s="7"/>
      <c r="BK72" s="8"/>
      <c r="BL72" s="8"/>
      <c r="BM72" s="8"/>
      <c r="BN72" s="8"/>
      <c r="BO72" s="8"/>
      <c r="BP72" s="12"/>
      <c r="BQ72" s="22">
        <f>IF(BY72&gt;BY69,1,0)+IF(BY72&gt;BY70,1,0)+IF(BY72&gt;BY71,1,0)+IF(BY72&gt;BY72,1,0)+1</f>
        <v>1</v>
      </c>
      <c r="BR72" s="31" t="s">
        <v>103</v>
      </c>
      <c r="BS72" s="32">
        <f>COUNTIF($X$67:$Z$72,CONCATENATE(BR72,"_win"))</f>
        <v>0</v>
      </c>
      <c r="BT72" s="32">
        <f>COUNTIF($X$67:$Z$72,CONCATENATE(BR72,"_draw"))</f>
        <v>0</v>
      </c>
      <c r="BU72" s="32">
        <f>COUNTIF($X$67:$Z$72,CONCATENATE(BR72,"_lose"))</f>
        <v>0</v>
      </c>
      <c r="BV72" s="32">
        <f>SUMIF($T$67:$T$72,CONCATENATE("=",BR72),$U$67:$U$72)+SUMIF($P$67:$P$72,CONCATENATE("=",BR72),$Q$67:$Q$72)</f>
        <v>0</v>
      </c>
      <c r="BW72" s="32">
        <f>SUMIF($V$67:$V$72,CONCATENATE("=",BR72),$W$67:$W$72)+SUMIF($R$67:$R$72,CONCATENATE("=",BR72),$S$67:$S$72)</f>
        <v>0</v>
      </c>
      <c r="BX72" s="32">
        <f>BS72*3+BT72</f>
        <v>0</v>
      </c>
      <c r="BY72" s="32">
        <f>0.1+BV72+(BV72-BW72)*100+BS72*1000+BX72*10000</f>
        <v>0.1</v>
      </c>
      <c r="BZ72" s="12"/>
      <c r="CA72" s="12"/>
    </row>
    <row r="73" spans="1:79" ht="7.5" customHeight="1" thickBot="1" x14ac:dyDescent="0.25">
      <c r="A73" s="44"/>
      <c r="B73" s="45"/>
      <c r="C73" s="45"/>
      <c r="D73" s="46"/>
      <c r="E73" s="45"/>
      <c r="F73" s="46"/>
      <c r="G73" s="46"/>
      <c r="H73" s="46"/>
      <c r="I73" s="46"/>
      <c r="J73" s="46"/>
      <c r="K73" s="46"/>
      <c r="L73" s="46"/>
      <c r="M73" s="11"/>
      <c r="N73" s="47"/>
      <c r="O73" s="7"/>
      <c r="P73" s="18"/>
      <c r="Q73" s="18"/>
      <c r="R73" s="18"/>
      <c r="S73" s="18"/>
      <c r="T73" s="18"/>
      <c r="U73" s="19"/>
      <c r="V73" s="19"/>
      <c r="W73" s="19"/>
      <c r="X73" s="19"/>
      <c r="Y73" s="19"/>
      <c r="Z73" s="19"/>
      <c r="AC73" s="8"/>
      <c r="AD73" s="8"/>
      <c r="AE73" s="8"/>
      <c r="AF73" s="8"/>
      <c r="AG73" s="8"/>
      <c r="AH73" s="8"/>
      <c r="AI73" s="8"/>
      <c r="AJ73" s="7"/>
      <c r="AK73" s="7"/>
      <c r="AL73" s="68"/>
      <c r="AM73" s="7"/>
      <c r="AN73" s="7"/>
      <c r="AO73" s="7"/>
      <c r="AP73" s="11"/>
      <c r="AQ73" s="11"/>
      <c r="AR73" s="11"/>
      <c r="AS73" s="11"/>
      <c r="AT73" s="11"/>
      <c r="AU73" s="7"/>
      <c r="AV73" s="7"/>
      <c r="AW73" s="68"/>
      <c r="AX73" s="7"/>
      <c r="AY73" s="7"/>
      <c r="AZ73" s="89"/>
      <c r="BA73" s="89"/>
      <c r="BB73" s="89"/>
      <c r="BC73" s="89"/>
      <c r="BD73" s="89"/>
      <c r="BE73" s="89"/>
      <c r="BF73" s="89"/>
      <c r="BG73" s="11"/>
      <c r="BH73" s="11"/>
      <c r="BI73" s="7"/>
      <c r="BJ73" s="7"/>
      <c r="BK73" s="8"/>
      <c r="BL73" s="8"/>
      <c r="BM73" s="8"/>
      <c r="BN73" s="8"/>
      <c r="BO73" s="8"/>
      <c r="BP73" s="12"/>
      <c r="BQ73" s="22"/>
      <c r="BR73" s="31"/>
      <c r="BS73" s="32"/>
      <c r="BT73" s="32"/>
      <c r="BU73" s="32"/>
      <c r="BV73" s="32"/>
      <c r="BW73" s="32"/>
      <c r="BX73" s="32"/>
      <c r="BY73" s="32"/>
      <c r="BZ73" s="12"/>
      <c r="CA73" s="12"/>
    </row>
    <row r="74" spans="1:79" s="70" customFormat="1" ht="13.5" hidden="1" thickBot="1" x14ac:dyDescent="0.25">
      <c r="B74" s="69"/>
      <c r="C74" s="79"/>
      <c r="E74" s="69" t="s">
        <v>106</v>
      </c>
      <c r="M74" s="75">
        <f>SUM(M2:M73)</f>
        <v>0</v>
      </c>
      <c r="N74" s="69"/>
      <c r="O74" s="69"/>
      <c r="P74" s="69"/>
      <c r="Q74" s="69"/>
      <c r="R74" s="69"/>
      <c r="S74" s="69"/>
      <c r="T74" s="79"/>
      <c r="U74" s="69"/>
      <c r="V74" s="69"/>
      <c r="W74" s="69"/>
      <c r="X74" s="69"/>
      <c r="Y74" s="69"/>
      <c r="Z74" s="69"/>
      <c r="AA74" s="69"/>
      <c r="AB74" s="69"/>
      <c r="AC74" s="73"/>
      <c r="AD74" s="73"/>
      <c r="AE74" s="73"/>
      <c r="AF74" s="73"/>
      <c r="AG74" s="73"/>
      <c r="AH74" s="73"/>
      <c r="AI74" s="73"/>
      <c r="AJ74" s="69"/>
      <c r="AK74" s="69"/>
      <c r="AL74" s="69"/>
      <c r="AM74" s="69"/>
      <c r="AN74" s="69" t="s">
        <v>107</v>
      </c>
      <c r="AO74" s="69"/>
      <c r="AT74" s="75">
        <f>SUM(AT2:AT70)</f>
        <v>0</v>
      </c>
      <c r="AU74" s="69"/>
      <c r="AV74" s="69"/>
      <c r="AW74" s="69"/>
      <c r="AX74" s="69"/>
      <c r="AY74" s="69"/>
      <c r="AZ74" s="74"/>
      <c r="BA74" s="69"/>
      <c r="BB74" s="69" t="s">
        <v>108</v>
      </c>
      <c r="BC74" s="69"/>
      <c r="BH74" s="75">
        <f>SUM(BH61:BH63)</f>
        <v>0</v>
      </c>
      <c r="BI74" s="69"/>
      <c r="BJ74" s="69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</row>
    <row r="75" spans="1:79" s="70" customFormat="1" ht="13.5" hidden="1" thickBot="1" x14ac:dyDescent="0.25">
      <c r="B75" s="79"/>
      <c r="C75" s="79"/>
      <c r="E75" s="69"/>
      <c r="N75" s="69"/>
      <c r="O75" s="69"/>
      <c r="P75" s="69"/>
      <c r="Q75" s="69"/>
      <c r="R75" s="69"/>
      <c r="S75" s="69"/>
      <c r="T75" s="79"/>
      <c r="U75" s="69"/>
      <c r="V75" s="69"/>
      <c r="W75" s="69"/>
      <c r="X75" s="69"/>
      <c r="Y75" s="69"/>
      <c r="Z75" s="69"/>
      <c r="AA75" s="69"/>
      <c r="AB75" s="69"/>
      <c r="AC75" s="73"/>
      <c r="AD75" s="73"/>
      <c r="AE75" s="73"/>
      <c r="AF75" s="73"/>
      <c r="AG75" s="73"/>
      <c r="AH75" s="73"/>
      <c r="AI75" s="73"/>
      <c r="AJ75" s="69"/>
      <c r="AK75" s="69"/>
      <c r="AL75" s="69"/>
      <c r="AM75" s="69"/>
      <c r="AN75" s="69"/>
      <c r="AO75" s="69"/>
      <c r="AU75" s="69"/>
      <c r="AV75" s="69"/>
      <c r="AW75" s="69"/>
      <c r="AX75" s="69"/>
      <c r="AY75" s="69"/>
      <c r="AZ75" s="74"/>
      <c r="BA75" s="69"/>
      <c r="BB75" s="69" t="s">
        <v>109</v>
      </c>
      <c r="BC75" s="69"/>
      <c r="BH75" s="75">
        <f>BH68</f>
        <v>0</v>
      </c>
      <c r="BI75" s="69"/>
      <c r="BJ75" s="69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</row>
    <row r="76" spans="1:79" hidden="1" x14ac:dyDescent="0.2"/>
    <row r="77" spans="1:79" ht="13.5" hidden="1" thickBot="1" x14ac:dyDescent="0.25"/>
    <row r="78" spans="1:79" s="69" customFormat="1" ht="13.5" hidden="1" thickBot="1" x14ac:dyDescent="0.25">
      <c r="D78" s="70"/>
      <c r="F78" s="70"/>
      <c r="G78" s="70"/>
      <c r="H78" s="70"/>
      <c r="I78" s="70"/>
      <c r="J78" s="70"/>
      <c r="K78" s="70"/>
      <c r="L78" s="70"/>
      <c r="M78" s="70"/>
      <c r="T78" s="79"/>
      <c r="AC78" s="73"/>
      <c r="AD78" s="73"/>
      <c r="AE78" s="73"/>
      <c r="AF78" s="73"/>
      <c r="AG78" s="73"/>
      <c r="AH78" s="73"/>
      <c r="AI78" s="73"/>
      <c r="AP78" s="70"/>
      <c r="AQ78" s="70"/>
      <c r="AR78" s="70"/>
      <c r="AS78" s="70"/>
      <c r="AT78" s="70"/>
      <c r="AZ78" s="74"/>
      <c r="BB78" s="69" t="s">
        <v>110</v>
      </c>
      <c r="BD78" s="70"/>
      <c r="BE78" s="70"/>
      <c r="BF78" s="70"/>
      <c r="BG78" s="70"/>
      <c r="BH78" s="75">
        <f>M74+AT74+BH37+BH55+BH74+BH75</f>
        <v>0</v>
      </c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</row>
    <row r="79" spans="1:79" hidden="1" x14ac:dyDescent="0.2"/>
    <row r="80" spans="1:79" hidden="1" x14ac:dyDescent="0.2"/>
  </sheetData>
  <sheetProtection algorithmName="SHA-512" hashValue="GIY8rO+LjoAtnqu6o9HHxgAnq1RC26LgcqWwnrVmHpLN0WWIpsZdLgJ/jhiIvyrUZ2wvZ3cyxsaDdbFlHd6uTg==" saltValue="q4vvLILreSA0sVSoQ0j7Dw==" spinCount="100000" sheet="1" objects="1" scenarios="1" selectLockedCells="1"/>
  <mergeCells count="155">
    <mergeCell ref="AG1:AG2"/>
    <mergeCell ref="AH1:AH2"/>
    <mergeCell ref="AJ2:AN2"/>
    <mergeCell ref="AP2:AR2"/>
    <mergeCell ref="AZ2:AZ3"/>
    <mergeCell ref="BA2:BF3"/>
    <mergeCell ref="AJ3:AK3"/>
    <mergeCell ref="F1:H1"/>
    <mergeCell ref="J1:L1"/>
    <mergeCell ref="AC1:AC2"/>
    <mergeCell ref="AD1:AD2"/>
    <mergeCell ref="AE1:AE2"/>
    <mergeCell ref="AF1:AF2"/>
    <mergeCell ref="AJ5:AK5"/>
    <mergeCell ref="AW6:BB6"/>
    <mergeCell ref="BD6:BF6"/>
    <mergeCell ref="AX7:AY7"/>
    <mergeCell ref="BH8:BH9"/>
    <mergeCell ref="F10:H10"/>
    <mergeCell ref="J10:L10"/>
    <mergeCell ref="AC10:AC11"/>
    <mergeCell ref="AD10:AD11"/>
    <mergeCell ref="AE10:AE11"/>
    <mergeCell ref="AW14:BB14"/>
    <mergeCell ref="BD14:BF14"/>
    <mergeCell ref="AX15:AY15"/>
    <mergeCell ref="AX17:AY18"/>
    <mergeCell ref="AZ17:AZ18"/>
    <mergeCell ref="BA17:BA18"/>
    <mergeCell ref="BB17:BB18"/>
    <mergeCell ref="BD17:BD18"/>
    <mergeCell ref="AF10:AF11"/>
    <mergeCell ref="AG10:AG11"/>
    <mergeCell ref="AH10:AH11"/>
    <mergeCell ref="AX10:AY10"/>
    <mergeCell ref="AJ11:AN11"/>
    <mergeCell ref="AP11:AR11"/>
    <mergeCell ref="F19:H19"/>
    <mergeCell ref="J19:L19"/>
    <mergeCell ref="AC19:AC20"/>
    <mergeCell ref="AD19:AD20"/>
    <mergeCell ref="AE19:AE20"/>
    <mergeCell ref="AF19:AF20"/>
    <mergeCell ref="AG19:AG20"/>
    <mergeCell ref="AJ12:AK12"/>
    <mergeCell ref="AJ14:AK14"/>
    <mergeCell ref="AH19:AH20"/>
    <mergeCell ref="AJ20:AN20"/>
    <mergeCell ref="AP20:AR20"/>
    <mergeCell ref="AJ21:AK21"/>
    <mergeCell ref="AW22:BB22"/>
    <mergeCell ref="BD22:BF22"/>
    <mergeCell ref="BE17:BE18"/>
    <mergeCell ref="BF17:BF18"/>
    <mergeCell ref="BH17:BH18"/>
    <mergeCell ref="F28:H28"/>
    <mergeCell ref="J28:L28"/>
    <mergeCell ref="AC28:AC29"/>
    <mergeCell ref="AD28:AD29"/>
    <mergeCell ref="AE28:AE29"/>
    <mergeCell ref="AF28:AF29"/>
    <mergeCell ref="AG28:AG29"/>
    <mergeCell ref="AJ23:AK23"/>
    <mergeCell ref="AX23:AY23"/>
    <mergeCell ref="AX25:AY26"/>
    <mergeCell ref="AH28:AH29"/>
    <mergeCell ref="AJ29:AN29"/>
    <mergeCell ref="AP29:AR29"/>
    <mergeCell ref="AJ30:AK30"/>
    <mergeCell ref="AW30:BB30"/>
    <mergeCell ref="BD30:BF30"/>
    <mergeCell ref="BD25:BD26"/>
    <mergeCell ref="BE25:BE26"/>
    <mergeCell ref="BF25:BF26"/>
    <mergeCell ref="AZ25:AZ26"/>
    <mergeCell ref="BA25:BA26"/>
    <mergeCell ref="BB25:BB26"/>
    <mergeCell ref="AJ39:AN39"/>
    <mergeCell ref="AP39:AR39"/>
    <mergeCell ref="AW39:BB39"/>
    <mergeCell ref="AJ40:AK40"/>
    <mergeCell ref="AX31:AY31"/>
    <mergeCell ref="AJ32:AK32"/>
    <mergeCell ref="BH32:BH33"/>
    <mergeCell ref="AX34:AY34"/>
    <mergeCell ref="F38:H38"/>
    <mergeCell ref="J38:L38"/>
    <mergeCell ref="AC38:AC39"/>
    <mergeCell ref="AD38:AD39"/>
    <mergeCell ref="AE38:AE39"/>
    <mergeCell ref="AF38:AF39"/>
    <mergeCell ref="F47:H47"/>
    <mergeCell ref="J47:L47"/>
    <mergeCell ref="AC47:AC48"/>
    <mergeCell ref="AD47:AD48"/>
    <mergeCell ref="AE47:AE48"/>
    <mergeCell ref="AF47:AF48"/>
    <mergeCell ref="AG47:AG48"/>
    <mergeCell ref="AG38:AG39"/>
    <mergeCell ref="AH38:AH39"/>
    <mergeCell ref="AH47:AH48"/>
    <mergeCell ref="AJ48:AN48"/>
    <mergeCell ref="AP48:AR48"/>
    <mergeCell ref="AW48:BB48"/>
    <mergeCell ref="BD48:BF48"/>
    <mergeCell ref="AJ49:AK49"/>
    <mergeCell ref="AX49:AY49"/>
    <mergeCell ref="BH41:BH42"/>
    <mergeCell ref="AJ42:AK42"/>
    <mergeCell ref="AX43:AY43"/>
    <mergeCell ref="BD60:BF60"/>
    <mergeCell ref="BE51:BE52"/>
    <mergeCell ref="BF51:BF52"/>
    <mergeCell ref="BH51:BH52"/>
    <mergeCell ref="F57:H57"/>
    <mergeCell ref="J57:L57"/>
    <mergeCell ref="AC57:AC58"/>
    <mergeCell ref="AD57:AD58"/>
    <mergeCell ref="AE57:AE58"/>
    <mergeCell ref="AF57:AF58"/>
    <mergeCell ref="AG57:AG58"/>
    <mergeCell ref="AJ51:AK51"/>
    <mergeCell ref="AX51:AY52"/>
    <mergeCell ref="AZ51:AZ52"/>
    <mergeCell ref="BA51:BA52"/>
    <mergeCell ref="BB51:BB52"/>
    <mergeCell ref="BD51:BD52"/>
    <mergeCell ref="AX61:AY61"/>
    <mergeCell ref="AX63:AY64"/>
    <mergeCell ref="AZ63:AZ64"/>
    <mergeCell ref="BA63:BA64"/>
    <mergeCell ref="BB63:BB64"/>
    <mergeCell ref="AH57:AH58"/>
    <mergeCell ref="AJ58:AN58"/>
    <mergeCell ref="AP58:AR58"/>
    <mergeCell ref="AJ59:AK59"/>
    <mergeCell ref="AW60:BB60"/>
    <mergeCell ref="F66:H66"/>
    <mergeCell ref="J66:L66"/>
    <mergeCell ref="AC66:AC67"/>
    <mergeCell ref="AD66:AD67"/>
    <mergeCell ref="AE66:AE67"/>
    <mergeCell ref="AF66:AF67"/>
    <mergeCell ref="AG66:AG67"/>
    <mergeCell ref="AH66:AH67"/>
    <mergeCell ref="AJ61:AK61"/>
    <mergeCell ref="AZ72:BF73"/>
    <mergeCell ref="AJ67:AN67"/>
    <mergeCell ref="AP67:AR67"/>
    <mergeCell ref="AZ67:BF68"/>
    <mergeCell ref="AJ68:AK68"/>
    <mergeCell ref="AZ69:BF71"/>
    <mergeCell ref="AJ70:AK70"/>
    <mergeCell ref="BE63:BE64"/>
    <mergeCell ref="BF63:BF64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Tippformular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Markus</dc:creator>
  <cp:lastModifiedBy>Beck, Markus</cp:lastModifiedBy>
  <cp:lastPrinted>2018-05-16T08:15:30Z</cp:lastPrinted>
  <dcterms:created xsi:type="dcterms:W3CDTF">2018-05-16T07:15:13Z</dcterms:created>
  <dcterms:modified xsi:type="dcterms:W3CDTF">2018-05-17T08:07:47Z</dcterms:modified>
</cp:coreProperties>
</file>